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E:\2024 ANNUAL BUDGET\"/>
    </mc:Choice>
  </mc:AlternateContent>
  <xr:revisionPtr revIDLastSave="0" documentId="8_{B68027EF-240E-4857-B9AC-B7CF9D3B89FA}" xr6:coauthVersionLast="47" xr6:coauthVersionMax="47" xr10:uidLastSave="{00000000-0000-0000-0000-000000000000}"/>
  <workbookProtection workbookAlgorithmName="SHA-512" workbookHashValue="qe3bPbnooY1CyrlSasEcEWQYcGiBRu8rfC8nbaelJlMeVOut+VZMZhu0k1ijGe+2d7Ki2pdYp9J68pV618179g==" workbookSaltValue="5+q4Ffj/0saot0atzTIGLQ==" workbookSpinCount="100000" lockStructure="1"/>
  <bookViews>
    <workbookView xWindow="2910" yWindow="2170" windowWidth="14400" windowHeight="7360" tabRatio="736" activeTab="1" xr2:uid="{00000000-000D-0000-FFFF-FFFF00000000}"/>
  </bookViews>
  <sheets>
    <sheet name="1-Revenue Estimate" sheetId="21" r:id="rId1"/>
    <sheet name="2-Complete Budget" sheetId="15" r:id="rId2"/>
    <sheet name="Summary" sheetId="16" r:id="rId3"/>
    <sheet name="Summary by Function " sheetId="18" r:id="rId4"/>
    <sheet name="FY23 POFR FTE" sheetId="20" state="hidden" r:id="rId5"/>
    <sheet name="Charter Schools" sheetId="19"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__grp1">[1]SUMMARY!#REF!</definedName>
    <definedName name="_1.__2009_10_FEFP_State_and_Local_Funding" localSheetId="0">'1-Revenue Estimate'!$A$5</definedName>
    <definedName name="_1.__2009_10_FEFP_State_and_Local_Funding">#REF!</definedName>
    <definedName name="_1.__2010_11_FEFP_State_and_Local_Funding" localSheetId="0">'1-Revenue Estimate'!$A$5</definedName>
    <definedName name="_1.__2010_11_FEFP_State_and_Local_Funding">#REF!</definedName>
    <definedName name="_1_0g" localSheetId="3">[2]SUMMARY!#REF!</definedName>
    <definedName name="_101_Basic_K_3" localSheetId="0">'1-Revenue Estimate'!$A$12</definedName>
    <definedName name="_101_Basic_K_3">#REF!</definedName>
    <definedName name="_102_Basic_4_8" localSheetId="0">'1-Revenue Estimate'!$A$14</definedName>
    <definedName name="_102_Basic_4_8">#REF!</definedName>
    <definedName name="_103_Basic_9_12" localSheetId="0">'1-Revenue Estimate'!$A$16</definedName>
    <definedName name="_103_Basic_9_12">#REF!</definedName>
    <definedName name="_111_Basic_K_3_with_ESE_Services" localSheetId="0">'1-Revenue Estimate'!$A$13</definedName>
    <definedName name="_111_Basic_K_3_with_ESE_Services">#REF!</definedName>
    <definedName name="_112_Basic_4_8_with_ESE_Services" localSheetId="0">'1-Revenue Estimate'!$A$15</definedName>
    <definedName name="_112_Basic_4_8_with_ESE_Services">#REF!</definedName>
    <definedName name="_113_Basic_9_12_with_ESE_Services" localSheetId="0">'1-Revenue Estimate'!$A$17</definedName>
    <definedName name="_113_Basic_9_12_with_ESE_Services">#REF!</definedName>
    <definedName name="_130_ESOL__Grade_Level_4_8" localSheetId="0">'1-Revenue Estimate'!$A$25</definedName>
    <definedName name="_130_ESOL__Grade_Level_4_8">#REF!</definedName>
    <definedName name="_130_ESOL__Grade_Level_9_12" localSheetId="0">'1-Revenue Estimate'!$A$26</definedName>
    <definedName name="_130_ESOL__Grade_Level_9_12">#REF!</definedName>
    <definedName name="_130_ESOL__Grade_Level_PK_3" localSheetId="0">'1-Revenue Estimate'!$A$24</definedName>
    <definedName name="_130_ESOL__Grade_Level_PK_3">#REF!</definedName>
    <definedName name="_2.__ESE_Guaranteed_Allocation" localSheetId="0">'1-Revenue Estimate'!$A$41</definedName>
    <definedName name="_2.__ESE_Guaranteed_Allocation">#REF!</definedName>
    <definedName name="_2_0g">[2]SUMMARY!#REF!</definedName>
    <definedName name="_2000_01_District_Cost_Differential">#REF!</definedName>
    <definedName name="_2010_11_Base_Funding_WFTE_x_BSA_x_DCD" localSheetId="0">'1-Revenue Estimate'!$H$10</definedName>
    <definedName name="_2010_11_Base_Funding_WFTE_x_BSA_x_DCD">#REF!</definedName>
    <definedName name="_254_ESE_Level_4__Grade_Level_4_8" localSheetId="0">'1-Revenue Estimate'!$A$19</definedName>
    <definedName name="_254_ESE_Level_4__Grade_Level_4_8">#REF!</definedName>
    <definedName name="_254_ESE_Level_4__Grade_Level_9_12" localSheetId="0">'1-Revenue Estimate'!$A$20</definedName>
    <definedName name="_254_ESE_Level_4__Grade_Level_9_12">#REF!</definedName>
    <definedName name="_254_ESE_Level_4__Grade_Level_PK_3" localSheetId="0">'1-Revenue Estimate'!$A$18</definedName>
    <definedName name="_254_ESE_Level_4__Grade_Level_PK_3">#REF!</definedName>
    <definedName name="_255_ESE_Level_5__Grade_Level_4_8" localSheetId="0">'1-Revenue Estimate'!$A$22</definedName>
    <definedName name="_255_ESE_Level_5__Grade_Level_4_8">#REF!</definedName>
    <definedName name="_255_ESE_Level_5__Grade_Level_9_12" localSheetId="0">'1-Revenue Estimate'!$A$23</definedName>
    <definedName name="_255_ESE_Level_5__Grade_Level_9_12">#REF!</definedName>
    <definedName name="_255_ESE_Level_5__Grade_Level_PK_3" localSheetId="0">'1-Revenue Estimate'!$A$21</definedName>
    <definedName name="_255_ESE_Level_5__Grade_Level_PK_3">#REF!</definedName>
    <definedName name="_3.__Supplemental_Academic_Instruction" localSheetId="0">'1-Revenue Estimate'!#REF!</definedName>
    <definedName name="_3.__Supplemental_Academic_Instruction" localSheetId="3">#REF!</definedName>
    <definedName name="_3.__Supplemental_Academic_Instruction">#REF!</definedName>
    <definedName name="_300_Career_Education__Grades_9_12" localSheetId="0">'1-Revenue Estimate'!$A$27</definedName>
    <definedName name="_300_Career_Education__Grades_9_12">#REF!</definedName>
    <definedName name="_4_8" localSheetId="0">'1-Revenue Estimate'!$A$82</definedName>
    <definedName name="_4_8">#REF!</definedName>
    <definedName name="_9_12" localSheetId="0">'1-Revenue Estimate'!$A$83</definedName>
    <definedName name="_9_12">#REF!</definedName>
    <definedName name="_Add_On_FTE" localSheetId="0">'1-Revenue Estimate'!#REF!</definedName>
    <definedName name="_Add_On_FTE" localSheetId="3">#REF!</definedName>
    <definedName name="_Add_On_FTE">#REF!</definedName>
    <definedName name="_xlnm._FilterDatabase" localSheetId="1" hidden="1">'2-Complete Budget'!$A$6:$M$6</definedName>
    <definedName name="_grp1" localSheetId="3">[1]SUMMARY!#REF!</definedName>
    <definedName name="_grp1">[1]SUMMARY!#REF!</definedName>
    <definedName name="Actual_Additional_.25_Discretionary_Revenue" localSheetId="0">'[3] Detail 2018-19 1st FEFP'!#REF!</definedName>
    <definedName name="Actual_Additional_.25_Discretionary_Revenue" localSheetId="3">#REF!</definedName>
    <definedName name="Actual_Additional_.25_Discretionary_Revenue">#REF!</definedName>
    <definedName name="Actual_Basic_Discretionary_Revenue">#REF!</definedName>
    <definedName name="Add_On_FTE" localSheetId="0">'1-Revenue Estimate'!#REF!</definedName>
    <definedName name="Add_On_FTE" localSheetId="3">#REF!</definedName>
    <definedName name="Add_On_FTE">#REF!</definedName>
    <definedName name="Alachua">#REF!</definedName>
    <definedName name="Allocation_factors" localSheetId="0">'1-Revenue Estimate'!$E$80</definedName>
    <definedName name="Allocation_factors">#REF!</definedName>
    <definedName name="ARRA_State_Fiscal_Stabilization" localSheetId="0">'[3] Detail 2018-19 1st FEFP'!#REF!</definedName>
    <definedName name="ARRA_State_Fiscal_Stabilization" localSheetId="3">#REF!</definedName>
    <definedName name="ARRA_State_Fiscal_Stabilization">#REF!</definedName>
    <definedName name="ASSISTANTS" localSheetId="4">'[4]5021'!#REF!</definedName>
    <definedName name="ASSISTANTS">'[4]5021'!#REF!</definedName>
    <definedName name="Baker">#REF!</definedName>
    <definedName name="Base_Student_Allocation" localSheetId="0">'1-Revenue Estimate'!$A$6</definedName>
    <definedName name="Base_Student_Allocation">#REF!</definedName>
    <definedName name="Based_on_the_Second_Calculation_of_the_FEFP_2010_11" localSheetId="0">'1-Revenue Estimate'!$A$3</definedName>
    <definedName name="Based_on_the_Second_Calculation_of_the_FEFP_2010_11">#REF!</definedName>
    <definedName name="Basic" localSheetId="4">'[4]5021'!#REF!</definedName>
    <definedName name="Basic">'[4]5021'!#REF!</definedName>
    <definedName name="Bay">#REF!</definedName>
    <definedName name="Bradford">#REF!</definedName>
    <definedName name="Brevard">#REF!</definedName>
    <definedName name="Broward">#REF!</definedName>
    <definedName name="Calhoun">#REF!</definedName>
    <definedName name="CAP" localSheetId="0" hidden="1">{#N/A,#N/A,FALSE,"Summation";#N/A,#N/A,FALSE,"BSA";#N/A,#N/A,FALSE,"Detail1";#N/A,#N/A,FALSE,"Detail2";#N/A,#N/A,FALSE,"Detail3";#N/A,#N/A,FALSE,"WFTE_Summary";#N/A,#N/A,FALSE,"Funded_WFTE";#N/A,#N/A,FALSE,"PYADJ96"}</definedName>
    <definedName name="CAP" hidden="1">{#N/A,#N/A,FALSE,"Summation";#N/A,#N/A,FALSE,"BSA";#N/A,#N/A,FALSE,"Detail1";#N/A,#N/A,FALSE,"Detail2";#N/A,#N/A,FALSE,"Detail3";#N/A,#N/A,FALSE,"WFTE_Summary";#N/A,#N/A,FALSE,"Funded_WFTE";#N/A,#N/A,FALSE,"PYADJ96"}</definedName>
    <definedName name="Charlotte">#REF!</definedName>
    <definedName name="Citrus">#REF!</definedName>
    <definedName name="Class_Size_Allocation_Factors">#REF!</definedName>
    <definedName name="Clay">#REF!</definedName>
    <definedName name="COL_LU">[5]Reference!$A$3:$B$106</definedName>
    <definedName name="Collier">#REF!</definedName>
    <definedName name="Columbia">#REF!</definedName>
    <definedName name="d_grp1" localSheetId="0">[2]SUMMARY!#REF!</definedName>
    <definedName name="d_grp1" localSheetId="3">[2]SUMMARY!#REF!</definedName>
    <definedName name="d_grp1">[2]SUMMARY!#REF!</definedName>
    <definedName name="DCD" localSheetId="0">'1-Revenue Estimate'!$C$80</definedName>
    <definedName name="DCD">#REF!</definedName>
    <definedName name="Declining_Enrollment_Supplement">#REF!</definedName>
    <definedName name="DeSoto">#REF!</definedName>
    <definedName name="Discretionary__Lottery__District_Discretionary_Funds">#REF!</definedName>
    <definedName name="Discretionary_Tax_Compression_0.25_mills" localSheetId="0">'[3] Detail 2018-19 1st FEFP'!#REF!</definedName>
    <definedName name="Discretionary_Tax_Compression_0.25_mills" localSheetId="3">#REF!</definedName>
    <definedName name="Discretionary_Tax_Compression_0.25_mills">#REF!</definedName>
    <definedName name="Discretionary_Tax_Compression_0.748_mills">#REF!</definedName>
    <definedName name="dist_lu">[5]Reference!$AE$3:$AF$78</definedName>
    <definedName name="District">#REF!</definedName>
    <definedName name="District_Cost_Differential" localSheetId="0">'1-Revenue Estimate'!$E$6</definedName>
    <definedName name="District_Cost_Differential">#REF!</definedName>
    <definedName name="District_Cost_Differential_DCD">#REF!</definedName>
    <definedName name="District_SAI_Allocation" localSheetId="0">'1-Revenue Estimate'!#REF!</definedName>
    <definedName name="District_SAI_Allocation" localSheetId="3">#REF!</definedName>
    <definedName name="District_SAI_Allocation">#REF!</definedName>
    <definedName name="Districts">#REF!</definedName>
    <definedName name="divided_by_district_FTE" localSheetId="0">'1-Revenue Estimate'!#REF!</definedName>
    <definedName name="divided_by_district_FTE" localSheetId="3">#REF!</definedName>
    <definedName name="divided_by_district_FTE">#REF!</definedName>
    <definedName name="Dixie">#REF!</definedName>
    <definedName name="Dual_Enrollment_Allocation">#REF!</definedName>
    <definedName name="Duval">#REF!</definedName>
    <definedName name="Equal_Percent_Adjustment" localSheetId="0">'[3] Detail 2018-19 1st FEFP'!#REF!</definedName>
    <definedName name="Equal_Percent_Adjustment" localSheetId="3">#REF!</definedName>
    <definedName name="Equal_Percent_Adjustment">#REF!</definedName>
    <definedName name="Escambia">#REF!</definedName>
    <definedName name="ESE_Guaranteed_Allocation_Dollars">#REF!</definedName>
    <definedName name="ESE_LEVEL_1">#REF!</definedName>
    <definedName name="ESE_LEVEL_1_Program_111__Grades_K_3">#REF!</definedName>
    <definedName name="ESE_LEVEL_1_Program_112__Grades_4_8">#REF!</definedName>
    <definedName name="ESE_LEVEL_1_Program_113__Grades_9_12">#REF!</definedName>
    <definedName name="ESE_LEVEL_2_Program_111__Grades_K_3">#REF!</definedName>
    <definedName name="ESE_LEVEL_2_Program_112__Grades_4_8">#REF!</definedName>
    <definedName name="ESE_LEVEL_2_Program_113__Grades_9_12">#REF!</definedName>
    <definedName name="ESE_LEVEL_3_Program_111__Grades_K_3">#REF!</definedName>
    <definedName name="ESE_LEVEL_3_Program_112__Grades_4_8">#REF!</definedName>
    <definedName name="ESE_LEVEL_3_Program_113__Grades_9_12">#REF!</definedName>
    <definedName name="ESE_Program_111__Grades_K_3">#REF!</definedName>
    <definedName name="Except." localSheetId="4">'[4]5021'!#REF!</definedName>
    <definedName name="Except.">'[4]5021'!#REF!</definedName>
    <definedName name="FAMU_Lab_School">#REF!</definedName>
    <definedName name="FAU_Lab_School">#REF!</definedName>
    <definedName name="FAU_St._Lucie">#REF!</definedName>
    <definedName name="Fl_Virtual_School">#REF!</definedName>
    <definedName name="Flagler">#REF!</definedName>
    <definedName name="Franklin">#REF!</definedName>
    <definedName name="FSU_Lab_Broward">#REF!</definedName>
    <definedName name="FSU_Lab_Leon">#REF!</definedName>
    <definedName name="FTE" localSheetId="0">'1-Revenue Estimate'!$C$41</definedName>
    <definedName name="FTE">#REF!</definedName>
    <definedName name="Function">'[4]5021'!$B$107:$IV$107</definedName>
    <definedName name="function_lu">[5]Reference!$E$3:$H$17</definedName>
    <definedName name="Gadsden">#REF!</definedName>
    <definedName name="Gilchrist">#REF!</definedName>
    <definedName name="Glades">#REF!</definedName>
    <definedName name="Grade_Level" localSheetId="0">'1-Revenue Estimate'!$E$41</definedName>
    <definedName name="Grade_Level">#REF!</definedName>
    <definedName name="Grades_4_Through_8">#REF!</definedName>
    <definedName name="Grades_9_through_12">#REF!</definedName>
    <definedName name="Grades_K_Through_3">#REF!</definedName>
    <definedName name="Guarantee_Per_Student" localSheetId="0">'1-Revenue Estimate'!$G$41</definedName>
    <definedName name="Guarantee_Per_Student">#REF!</definedName>
    <definedName name="Gulf">#REF!</definedName>
    <definedName name="Hamilton">#REF!</definedName>
    <definedName name="Hardee">#REF!</definedName>
    <definedName name="Hendry">#REF!</definedName>
    <definedName name="Hernando">#REF!</definedName>
    <definedName name="Highlands">#REF!</definedName>
    <definedName name="Hillsborough">#REF!</definedName>
    <definedName name="Holmes">#REF!</definedName>
    <definedName name="HTML_CodePage" hidden="1">1252</definedName>
    <definedName name="HTML_Control" localSheetId="0" hidden="1">{"'AssumptionsHTML'!$B$9:$E$357","'SummationHTML'!$A$4:$J$93","'Difference'!$A$11:$K$101","'DifferenceFTE'!$A$11:$K$101","'Detail1'!$A$11:$I$97","'Detail2'!$A$11:$J$97","'Detail3'!$A$11:$J$97","'Categorical1'!$A$11:$L$97"}</definedName>
    <definedName name="HTML_Control" localSheetId="4" hidden="1">{"'AssumptionsHTML'!$B$9:$E$357","'SummationHTML'!$A$4:$J$93","'Difference'!$A$11:$K$101","'DifferenceFTE'!$A$11:$K$101","'Detail1'!$A$11:$I$97","'Detail2'!$A$11:$J$97","'Detail3'!$A$11:$J$97","'Categorical1'!$A$11:$L$97"}</definedName>
    <definedName name="HTML_Control" hidden="1">{"'AssumptionsHTML'!$B$9:$E$357","'SummationHTML'!$A$4:$J$93","'Difference'!$A$11:$K$101","'DifferenceFTE'!$A$11:$K$101","'Detail1'!$A$11:$I$97","'Detail2'!$A$11:$J$97","'Detail3'!$A$11:$J$97","'Categorical1'!$A$11:$L$97"}</definedName>
    <definedName name="HTML_Description" hidden="1">""</definedName>
    <definedName name="HTML_Email" hidden="1">""</definedName>
    <definedName name="HTML_Header" hidden="1">""</definedName>
    <definedName name="HTML_LastUpdate" hidden="1">"9/4/97"</definedName>
    <definedName name="HTML_LineAfter" hidden="1">FALSE</definedName>
    <definedName name="HTML_LineBefore" hidden="1">FALSE</definedName>
    <definedName name="HTML_Name" hidden="1">"David Montford"</definedName>
    <definedName name="HTML_OBDlg2" hidden="1">TRUE</definedName>
    <definedName name="HTML_OBDlg4" hidden="1">TRUE</definedName>
    <definedName name="HTML_OS" hidden="1">0</definedName>
    <definedName name="HTML_PathFile" hidden="1">"H:\XLFILES\test.htm"</definedName>
    <definedName name="HTML_Title" hidden="1">""</definedName>
    <definedName name="Indian_River">#REF!</definedName>
    <definedName name="Instructional_Materials_Allocation__Less_science_lab_and_dual_enrollment">#REF!</definedName>
    <definedName name="Jackson">#REF!</definedName>
    <definedName name="Jefferson">#REF!</definedName>
    <definedName name="k_3">#REF!</definedName>
    <definedName name="Lab_School_Discretionary_Contribution">#REF!</definedName>
    <definedName name="Lafayette">#REF!</definedName>
    <definedName name="Lake">#REF!</definedName>
    <definedName name="Lee">#REF!</definedName>
    <definedName name="Leon">#REF!</definedName>
    <definedName name="Levy">#REF!</definedName>
    <definedName name="Liberty">#REF!</definedName>
    <definedName name="LU_UseEmpAmtsFunction">[5]Reference!$CC$3:$CI$16</definedName>
    <definedName name="LU_UseEmpAmtsObjCols">[5]Reference!$CK$3:$CM$15</definedName>
    <definedName name="Madison">#REF!</definedName>
    <definedName name="Manatee">#REF!</definedName>
    <definedName name="Marion">#REF!</definedName>
    <definedName name="Martin">#REF!</definedName>
    <definedName name="Matrix_Level" localSheetId="0">'1-Revenue Estimate'!$F$41</definedName>
    <definedName name="Matrix_Level">#REF!</definedName>
    <definedName name="Miami_Dade">#REF!</definedName>
    <definedName name="Minimum_Guarantee_Adjustment" localSheetId="0">'[3] Detail 2018-19 1st FEFP'!#REF!</definedName>
    <definedName name="Minimum_Guarantee_Adjustment">#REF!</definedName>
    <definedName name="Monroe">#REF!</definedName>
    <definedName name="Nassau">#REF!</definedName>
    <definedName name="Number_of_FTE" localSheetId="0">'1-Revenue Estimate'!$C$10</definedName>
    <definedName name="Number_of_FTE">#REF!</definedName>
    <definedName name="Objects_lu">[5]Reference!$J$3:$M$43</definedName>
    <definedName name="Okaloosa">#REF!</definedName>
    <definedName name="Okeechobee">#REF!</definedName>
    <definedName name="Orange">#REF!</definedName>
    <definedName name="Osceola">#REF!</definedName>
    <definedName name="Palm_Beach">#REF!</definedName>
    <definedName name="Pasco">#REF!</definedName>
    <definedName name="Per_Student" localSheetId="0">'1-Revenue Estimate'!#REF!</definedName>
    <definedName name="Per_Student" localSheetId="3">#REF!</definedName>
    <definedName name="Per_Student">#REF!</definedName>
    <definedName name="Pinellas">#REF!</definedName>
    <definedName name="PK___3" localSheetId="0">'1-Revenue Estimate'!$A$81</definedName>
    <definedName name="PK___3">#REF!</definedName>
    <definedName name="Polk">#REF!</definedName>
    <definedName name="PRACTICE" localSheetId="0" hidden="1">{#N/A,#N/A,FALSE,"Summation";#N/A,#N/A,FALSE,"BSA";#N/A,#N/A,FALSE,"Detail1";#N/A,#N/A,FALSE,"Detail2";#N/A,#N/A,FALSE,"Detail3";#N/A,#N/A,FALSE,"WFTE_Summary";#N/A,#N/A,FALSE,"Funded_WFTE";#N/A,#N/A,FALSE,"PYADJ96"}</definedName>
    <definedName name="PRACTICE" hidden="1">{#N/A,#N/A,FALSE,"Summation";#N/A,#N/A,FALSE,"BSA";#N/A,#N/A,FALSE,"Detail1";#N/A,#N/A,FALSE,"Detail2";#N/A,#N/A,FALSE,"Detail3";#N/A,#N/A,FALSE,"WFTE_Summary";#N/A,#N/A,FALSE,"Funded_WFTE";#N/A,#N/A,FALSE,"PYADJ96"}</definedName>
    <definedName name="PRACTOCE" localSheetId="0" hidden="1">{#N/A,#N/A,FALSE,"Summation";#N/A,#N/A,FALSE,"BSA";#N/A,#N/A,FALSE,"Detail1";#N/A,#N/A,FALSE,"Detail2";#N/A,#N/A,FALSE,"Detail3";#N/A,#N/A,FALSE,"WFTE_Summary";#N/A,#N/A,FALSE,"Funded_WFTE";#N/A,#N/A,FALSE,"PYADJ96"}</definedName>
    <definedName name="PRACTOCE" hidden="1">{#N/A,#N/A,FALSE,"Summation";#N/A,#N/A,FALSE,"BSA";#N/A,#N/A,FALSE,"Detail1";#N/A,#N/A,FALSE,"Detail2";#N/A,#N/A,FALSE,"Detail3";#N/A,#N/A,FALSE,"WFTE_Summary";#N/A,#N/A,FALSE,"Funded_WFTE";#N/A,#N/A,FALSE,"PYADJ96"}</definedName>
    <definedName name="_xlnm.Print_Area" localSheetId="0">'1-Revenue Estimate'!$A$1:$H$118</definedName>
    <definedName name="_xlnm.Print_Area" localSheetId="1">'2-Complete Budget'!$A$1:$I$775</definedName>
    <definedName name="_xlnm.Print_Area" localSheetId="5">'Charter Schools'!$A$1:$E$59</definedName>
    <definedName name="_xlnm.Print_Area" localSheetId="2">Summary!$A$1:$G$95</definedName>
    <definedName name="_xlnm.Print_Area" localSheetId="3">'Summary by Function '!$A$1:$G$50</definedName>
    <definedName name="_xlnm.Print_Titles" localSheetId="1">'2-Complete Budget'!$6:$6</definedName>
    <definedName name="_xlnm.Print_Titles" localSheetId="2">Summary!$6:$6</definedName>
    <definedName name="_xlnm.Print_Titles" localSheetId="3">'Summary by Function '!$2:$4</definedName>
    <definedName name="Program" localSheetId="0">'1-Revenue Estimate'!$A$10</definedName>
    <definedName name="Program">#REF!</definedName>
    <definedName name="Program______________________________Cost_Factor" localSheetId="0">'1-Revenue Estimate'!$E$10</definedName>
    <definedName name="Program______________________________Cost_Factor">#REF!</definedName>
    <definedName name="Program_111__Grades_K_3">#REF!</definedName>
    <definedName name="Program_112__Grades_4_8">#REF!</definedName>
    <definedName name="Program_113__Grades_9_12">#REF!</definedName>
    <definedName name="Proratioin_to_Veto" localSheetId="0">'[3] Detail 2018-19 1st FEFP'!#REF!</definedName>
    <definedName name="Proratioin_to_Veto" localSheetId="3">#REF!</definedName>
    <definedName name="Proratioin_to_Veto">#REF!</definedName>
    <definedName name="Proration_to_the_Appropriation" localSheetId="0">'[3] Detail 2018-19 1st FEFP'!#REF!</definedName>
    <definedName name="Proration_to_the_Appropriation" localSheetId="3">#REF!</definedName>
    <definedName name="Proration_to_the_Appropriation">#REF!</definedName>
    <definedName name="Putnam">#REF!</definedName>
    <definedName name="Revenue_Estimate_Worksheet_for___________Charter_School" localSheetId="0">'1-Revenue Estimate'!$A$2</definedName>
    <definedName name="Revenue_Estimate_Worksheet_for___________Charter_School">#REF!</definedName>
    <definedName name="revenue_lu">[5]Reference!$BB$3:$BE$25</definedName>
    <definedName name="Safe_Schools_Allocation">#REF!</definedName>
    <definedName name="Santa_Rosa">#REF!</definedName>
    <definedName name="Sarasota">#REF!</definedName>
    <definedName name="School_District" localSheetId="0">'1-Revenue Estimate'!$A$4</definedName>
    <definedName name="School_District">#REF!</definedName>
    <definedName name="Science_Lab_Materials_Allocation" localSheetId="0">'[3] Detail 2018-19 1st FEFP'!#REF!</definedName>
    <definedName name="Science_Lab_Materials_Allocation" localSheetId="3">#REF!</definedName>
    <definedName name="Science_Lab_Materials_Allocation">#REF!</definedName>
    <definedName name="Seminole">#REF!</definedName>
    <definedName name="Sparsity_Supplement">#REF!</definedName>
    <definedName name="St._Johns">#REF!</definedName>
    <definedName name="St._Lucie">#REF!</definedName>
    <definedName name="Sumter">#REF!</definedName>
    <definedName name="Supplemental_Academic_Instruction" localSheetId="0">'[3] Detail 2018-19 1st FEFP'!#REF!</definedName>
    <definedName name="Supplemental_Academic_Instruction">#REF!</definedName>
    <definedName name="Suwannee">#REF!</definedName>
    <definedName name="Taylor">#REF!</definedName>
    <definedName name="Total" localSheetId="0">'1-Revenue Estimate'!$A$84</definedName>
    <definedName name="TOTAL" localSheetId="4">'[4]5021'!#REF!</definedName>
    <definedName name="Total">#REF!</definedName>
    <definedName name="Total_Class_Size_Reduction_Funds" localSheetId="0">'1-Revenue Estimate'!$C$84</definedName>
    <definedName name="Total_Class_Size_Reduction_Funds">#REF!</definedName>
    <definedName name="Total_from_ESE_Guarantee" localSheetId="0">'1-Revenue Estimate'!#REF!</definedName>
    <definedName name="Total_from_ESE_Guarantee">#REF!</definedName>
    <definedName name="Total_FTE_with_ESE_Services" localSheetId="0">'1-Revenue Estimate'!#REF!</definedName>
    <definedName name="Total_FTE_with_ESE_Services">#REF!</definedName>
    <definedName name="Total_Instructional_Materials_Allocation">#REF!</definedName>
    <definedName name="Total_Potential_Disc.">#REF!</definedName>
    <definedName name="Total_Proration_to_Funds_Available">#REF!</definedName>
    <definedName name="TOTAL_STAFF" localSheetId="4">'[4]5021'!#REF!</definedName>
    <definedName name="TOTAL_STAFF">'[4]5021'!#REF!</definedName>
    <definedName name="Totals" localSheetId="0">'1-Revenue Estimate'!$A$28</definedName>
    <definedName name="Totals">#REF!</definedName>
    <definedName name="UF_Lab_School">#REF!</definedName>
    <definedName name="Union">#REF!</definedName>
    <definedName name="UnWeighted_FTE">#REF!</definedName>
    <definedName name="Vocational" localSheetId="4">'[4]5021'!#REF!</definedName>
    <definedName name="Vocational">'[4]5021'!#REF!</definedName>
    <definedName name="Volusia">#REF!</definedName>
    <definedName name="Wakulla">#REF!</definedName>
    <definedName name="Walton">#REF!</definedName>
    <definedName name="Washington">#REF!</definedName>
    <definedName name="Washington_Special">#REF!</definedName>
    <definedName name="Weighted_FTE____________b__x__c" localSheetId="0">'1-Revenue Estimate'!$G$10</definedName>
    <definedName name="Weighted_FTE____________b__x__c">#REF!</definedName>
    <definedName name="Weighted_FTE__From_Section_1" localSheetId="0">'1-Revenue Estimate'!$B$80</definedName>
    <definedName name="Weighted_FTE__From_Section_1">#REF!</definedName>
    <definedName name="Weighted_FTE_Funded">#REF!</definedName>
    <definedName name="wrn.Base._.Data._.Comparison." localSheetId="0" hidden="1">{#N/A,#N/A,FALSE,"Summation";#N/A,#N/A,FALSE,"BSA";#N/A,#N/A,FALSE,"Detail1";#N/A,#N/A,FALSE,"Detail2";#N/A,#N/A,FALSE,"Detail3";#N/A,#N/A,FALSE,"WFTE_Summary";#N/A,#N/A,FALSE,"Funded_WFTE";#N/A,#N/A,FALSE,"PYADJ96"}</definedName>
    <definedName name="wrn.Base._.Data._.Comparison." hidden="1">{#N/A,#N/A,FALSE,"Summation";#N/A,#N/A,FALSE,"BSA";#N/A,#N/A,FALSE,"Detail1";#N/A,#N/A,FALSE,"Detail2";#N/A,#N/A,FALSE,"Detail3";#N/A,#N/A,FALSE,"WFTE_Summary";#N/A,#N/A,FALSE,"Funded_WFTE";#N/A,#N/A,FALSE,"PYADJ96"}</definedName>
    <definedName name="wrn.SecondCalc9798." localSheetId="0"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wrn.SecondCalc9798." hidden="1">{#N/A,#N/A,FALSE,"Cover";#N/A,#N/A,FALSE,"Contents";#N/A,#N/A,FALSE,"BSA";#N/A,#N/A,FALSE,"Detail1";#N/A,#N/A,FALSE,"Detail2";#N/A,#N/A,FALSE,"NewPCF";#N/A,#N/A,FALSE,"Lottery";#N/A,#N/A,FALSE,"DeclineFTE";#N/A,#N/A,FALSE,"Sparsity1";#N/A,#N/A,FALSE,"Sparsity2";#N/A,#N/A,FALSE,"Labs";#N/A,#N/A,FALSE,"Safe_Hou";#N/A,#N/A,FALSE,"PerformanceSupplement";#N/A,#N/A,FALSE,"Math1";#N/A,#N/A,FALSE,"Math23";#N/A,#N/A,FALSE,"Lang1";#N/A,#N/A,FALSE,"Lang23";#N/A,#N/A,FALSE,"Dropout";#N/A,#N/A,FALSE,"remred";#N/A,#N/A,FALSE,"Dropout2";#N/A,#N/A,FALSE,"MinimumPY1";#N/A,#N/A,FALSE,"MinimumPY4";#N/A,#N/A,FALSE,"MinimumPY2";#N/A,#N/A,FALSE,"MinimumPY5";#N/A,#N/A,FALSE,"MinimumCY1";#N/A,#N/A,FALSE,"MinimumCY2";#N/A,#N/A,FALSE,"MinimumCY3";#N/A,#N/A,FALSE,"MinimumCY4";#N/A,#N/A,FALSE,"MinGuarantee";#N/A,#N/A,FALSE,"MinPercent";#N/A,#N/A,FALSE,"Compression1";#N/A,#N/A,FALSE,"Compression2";#N/A,#N/A,FALSE,"Compression3";#N/A,#N/A,FALSE,"Compression4";#N/A,#N/A,FALSE,"Equalize1";#N/A,#N/A,FALSE,"AdditionalMills1";#N/A,#N/A,FALSE,"AdditionalMills2";#N/A,#N/A,FALSE,"Mills";#N/A,#N/A,FALSE,"LRE";#N/A,#N/A,FALSE,"Addon";#N/A,#N/A,FALSE,"FTESUMM";#N/A,#N/A,FALSE,"FTE2";#N/A,#N/A,FALSE,"BaseData";#N/A,#N/A,FALSE,"WFTE2";#N/A,#N/A,FALSE,"Nonvoted"}</definedName>
    <definedName name="Year0EmpTbl">[5]Year0Emp!$F$5:$U$18</definedName>
    <definedName name="Year1EmpTbl">[5]Year1Emp!$F$5:$U$18</definedName>
    <definedName name="Year2EmpTbl">[5]Year2Emp!$F$5:$U$18</definedName>
    <definedName name="Year3EmpTbl">[5]Year3Emp!$F$5:$U$18</definedName>
    <definedName name="Year4EmpTbl">[5]Year4Emp!$F$5:$U$18</definedName>
    <definedName name="Year5EmpTbl">[5]Year5Emp!$F$5:$U$18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03" i="15" l="1"/>
  <c r="E600" i="15"/>
  <c r="E376" i="15"/>
  <c r="E124" i="15"/>
  <c r="E82" i="15"/>
  <c r="E54" i="15"/>
  <c r="E40" i="15"/>
  <c r="C55" i="21" l="1"/>
  <c r="H54" i="21"/>
  <c r="H53" i="21"/>
  <c r="H52" i="21"/>
  <c r="H51" i="21"/>
  <c r="H50" i="21"/>
  <c r="H49" i="21"/>
  <c r="H48" i="21"/>
  <c r="H47" i="21"/>
  <c r="H46" i="21"/>
  <c r="H55" i="21" l="1"/>
  <c r="H100" i="21"/>
  <c r="H88" i="21"/>
  <c r="H87" i="21"/>
  <c r="E24" i="15" s="1"/>
  <c r="G7" i="21" l="1"/>
  <c r="H32" i="20"/>
  <c r="P32" i="20"/>
  <c r="U32" i="20"/>
  <c r="W32" i="20"/>
  <c r="Y32" i="20"/>
  <c r="AG32" i="20"/>
  <c r="AK32" i="20"/>
  <c r="AM32" i="20"/>
  <c r="AO32" i="20"/>
  <c r="AW32" i="20"/>
  <c r="BA32" i="20"/>
  <c r="BC32" i="20"/>
  <c r="BE32" i="20"/>
  <c r="BM32" i="20"/>
  <c r="BQ32" i="20"/>
  <c r="BS32" i="20"/>
  <c r="BU32" i="20"/>
  <c r="CC32" i="20"/>
  <c r="CG32" i="20"/>
  <c r="CI32" i="20"/>
  <c r="CK32" i="20"/>
  <c r="N32" i="20"/>
  <c r="AD32" i="20"/>
  <c r="AT32" i="20"/>
  <c r="BJ32" i="20"/>
  <c r="BZ32" i="20"/>
  <c r="CP32" i="20"/>
  <c r="V32" i="20"/>
  <c r="G32" i="20"/>
  <c r="I32" i="20"/>
  <c r="J32" i="20"/>
  <c r="K32" i="20"/>
  <c r="L32" i="20"/>
  <c r="M32" i="20"/>
  <c r="O32" i="20"/>
  <c r="Q32" i="20"/>
  <c r="R32" i="20"/>
  <c r="S32" i="20"/>
  <c r="X32" i="20"/>
  <c r="Z32" i="20"/>
  <c r="AA32" i="20"/>
  <c r="AB32" i="20"/>
  <c r="AC32" i="20"/>
  <c r="AE32" i="20"/>
  <c r="AF32" i="20"/>
  <c r="AH32" i="20"/>
  <c r="AI32" i="20"/>
  <c r="AJ32" i="20"/>
  <c r="AL32" i="20"/>
  <c r="AN32" i="20"/>
  <c r="AP32" i="20"/>
  <c r="AQ32" i="20"/>
  <c r="AR32" i="20"/>
  <c r="AS32" i="20"/>
  <c r="AU32" i="20"/>
  <c r="AV32" i="20"/>
  <c r="AX32" i="20"/>
  <c r="AY32" i="20"/>
  <c r="AZ32" i="20"/>
  <c r="BB32" i="20"/>
  <c r="BD32" i="20"/>
  <c r="BF32" i="20"/>
  <c r="BG32" i="20"/>
  <c r="BH32" i="20"/>
  <c r="BI32" i="20"/>
  <c r="BK32" i="20"/>
  <c r="BL32" i="20"/>
  <c r="BN32" i="20"/>
  <c r="BO32" i="20"/>
  <c r="BP32" i="20"/>
  <c r="BR32" i="20"/>
  <c r="BT32" i="20"/>
  <c r="BV32" i="20"/>
  <c r="BW32" i="20"/>
  <c r="BX32" i="20"/>
  <c r="BY32" i="20"/>
  <c r="CA32" i="20"/>
  <c r="CB32" i="20"/>
  <c r="CD32" i="20"/>
  <c r="CE32" i="20"/>
  <c r="CF32" i="20"/>
  <c r="CH32" i="20"/>
  <c r="CJ32" i="20"/>
  <c r="CL32" i="20"/>
  <c r="CM32" i="20"/>
  <c r="CN32" i="20"/>
  <c r="CO32" i="20"/>
  <c r="CQ32" i="20"/>
  <c r="CR32" i="20"/>
  <c r="CS11" i="20" l="1"/>
  <c r="D2" i="21" l="1"/>
  <c r="CS38" i="20"/>
  <c r="CS39" i="20"/>
  <c r="CS40" i="20"/>
  <c r="CS41" i="20"/>
  <c r="CS42" i="20"/>
  <c r="CS43" i="20"/>
  <c r="CS44" i="20"/>
  <c r="CS45" i="20"/>
  <c r="CS37" i="20"/>
  <c r="CL46" i="20"/>
  <c r="CS17" i="20"/>
  <c r="CS18" i="20"/>
  <c r="CS19" i="20"/>
  <c r="CS20" i="20"/>
  <c r="CS21" i="20"/>
  <c r="CS22" i="20"/>
  <c r="CS23" i="20"/>
  <c r="CS24" i="20"/>
  <c r="CS25" i="20"/>
  <c r="CS26" i="20"/>
  <c r="CS27" i="20"/>
  <c r="CS28" i="20"/>
  <c r="CS29" i="20"/>
  <c r="CS30" i="20"/>
  <c r="CS31" i="20"/>
  <c r="CS16" i="20"/>
  <c r="CL47" i="20" l="1"/>
  <c r="H36" i="21"/>
  <c r="C27" i="21" l="1"/>
  <c r="C26" i="21"/>
  <c r="C25" i="21"/>
  <c r="C24" i="21"/>
  <c r="C23" i="21"/>
  <c r="C22" i="21"/>
  <c r="C21" i="21"/>
  <c r="C20" i="21"/>
  <c r="C19" i="21"/>
  <c r="C18" i="21"/>
  <c r="C17" i="21"/>
  <c r="C16" i="21"/>
  <c r="C15" i="21"/>
  <c r="C14" i="21"/>
  <c r="C13" i="21"/>
  <c r="C12" i="21"/>
  <c r="CK46" i="20"/>
  <c r="CK47" i="20" s="1"/>
  <c r="CR46" i="20"/>
  <c r="CR47" i="20" l="1"/>
  <c r="AI46" i="20"/>
  <c r="CQ46" i="20"/>
  <c r="CQ47" i="20" l="1"/>
  <c r="CS46" i="20"/>
  <c r="AI47" i="20"/>
  <c r="CS47" i="20" l="1"/>
  <c r="CS32" i="20"/>
  <c r="G46" i="20" l="1"/>
  <c r="G47" i="20" s="1"/>
  <c r="G26" i="21" l="1"/>
  <c r="I46" i="20" l="1"/>
  <c r="I47" i="20" s="1"/>
  <c r="J46" i="20"/>
  <c r="J47" i="20" s="1"/>
  <c r="K46" i="20"/>
  <c r="K47" i="20" s="1"/>
  <c r="L46" i="20"/>
  <c r="L47" i="20" s="1"/>
  <c r="M46" i="20"/>
  <c r="M47" i="20" s="1"/>
  <c r="N46" i="20"/>
  <c r="N47" i="20" s="1"/>
  <c r="O46" i="20"/>
  <c r="O47" i="20" s="1"/>
  <c r="P46" i="20"/>
  <c r="Q46" i="20"/>
  <c r="Q47" i="20" s="1"/>
  <c r="R46" i="20"/>
  <c r="R47" i="20" s="1"/>
  <c r="S46" i="20"/>
  <c r="S47" i="20" s="1"/>
  <c r="U46" i="20"/>
  <c r="U47" i="20" s="1"/>
  <c r="V46" i="20"/>
  <c r="V47" i="20" s="1"/>
  <c r="W46" i="20"/>
  <c r="W47" i="20" s="1"/>
  <c r="X46" i="20"/>
  <c r="X47" i="20" s="1"/>
  <c r="Y46" i="20"/>
  <c r="Z46" i="20"/>
  <c r="Z47" i="20" s="1"/>
  <c r="AA46" i="20"/>
  <c r="AA47" i="20" s="1"/>
  <c r="AB46" i="20"/>
  <c r="AC46" i="20"/>
  <c r="AC47" i="20" s="1"/>
  <c r="AD46" i="20"/>
  <c r="AD47" i="20" s="1"/>
  <c r="AE46" i="20"/>
  <c r="AE47" i="20" s="1"/>
  <c r="AF46" i="20"/>
  <c r="AG46" i="20"/>
  <c r="AG47" i="20" s="1"/>
  <c r="AH46" i="20"/>
  <c r="AH47" i="20" s="1"/>
  <c r="AJ46" i="20"/>
  <c r="AJ47" i="20" s="1"/>
  <c r="AK46" i="20"/>
  <c r="AK47" i="20" s="1"/>
  <c r="AL46" i="20"/>
  <c r="AL47" i="20" s="1"/>
  <c r="AM46" i="20"/>
  <c r="AM47" i="20" s="1"/>
  <c r="AN46" i="20"/>
  <c r="AO46" i="20"/>
  <c r="AO47" i="20" s="1"/>
  <c r="AP46" i="20"/>
  <c r="AP47" i="20" s="1"/>
  <c r="AQ46" i="20"/>
  <c r="AQ47" i="20" s="1"/>
  <c r="AR46" i="20"/>
  <c r="AR47" i="20" s="1"/>
  <c r="AS46" i="20"/>
  <c r="AS47" i="20" s="1"/>
  <c r="AT46" i="20"/>
  <c r="AT47" i="20" s="1"/>
  <c r="AU46" i="20"/>
  <c r="AU47" i="20" s="1"/>
  <c r="AV46" i="20"/>
  <c r="AW46" i="20"/>
  <c r="AW47" i="20" s="1"/>
  <c r="AX46" i="20"/>
  <c r="AX47" i="20" s="1"/>
  <c r="AY46" i="20"/>
  <c r="AY47" i="20" s="1"/>
  <c r="AZ46" i="20"/>
  <c r="AZ47" i="20" s="1"/>
  <c r="BA46" i="20"/>
  <c r="BA47" i="20" s="1"/>
  <c r="BB46" i="20"/>
  <c r="BB47" i="20" s="1"/>
  <c r="BC46" i="20"/>
  <c r="BD46" i="20"/>
  <c r="BD47" i="20" s="1"/>
  <c r="BE46" i="20"/>
  <c r="BE47" i="20" s="1"/>
  <c r="BF46" i="20"/>
  <c r="BF47" i="20" s="1"/>
  <c r="BG46" i="20"/>
  <c r="BG47" i="20" s="1"/>
  <c r="BH46" i="20"/>
  <c r="BH47" i="20" s="1"/>
  <c r="BI46" i="20"/>
  <c r="BI47" i="20" s="1"/>
  <c r="BJ46" i="20"/>
  <c r="BJ47" i="20" s="1"/>
  <c r="BK46" i="20"/>
  <c r="BK47" i="20" s="1"/>
  <c r="BL46" i="20"/>
  <c r="BL47" i="20" s="1"/>
  <c r="BM46" i="20"/>
  <c r="BM47" i="20" s="1"/>
  <c r="BN46" i="20"/>
  <c r="BO46" i="20"/>
  <c r="BO47" i="20" s="1"/>
  <c r="BP46" i="20"/>
  <c r="BP47" i="20" s="1"/>
  <c r="BQ46" i="20"/>
  <c r="BQ47" i="20" s="1"/>
  <c r="BR46" i="20"/>
  <c r="BR47" i="20" s="1"/>
  <c r="BS46" i="20"/>
  <c r="BS47" i="20" s="1"/>
  <c r="BT46" i="20"/>
  <c r="BT47" i="20" s="1"/>
  <c r="BU46" i="20"/>
  <c r="BU47" i="20" s="1"/>
  <c r="BV46" i="20"/>
  <c r="BW46" i="20"/>
  <c r="BW47" i="20" s="1"/>
  <c r="BX46" i="20"/>
  <c r="BX47" i="20" s="1"/>
  <c r="BY46" i="20"/>
  <c r="BY47" i="20" s="1"/>
  <c r="BZ46" i="20"/>
  <c r="BZ47" i="20" s="1"/>
  <c r="CA46" i="20"/>
  <c r="CA47" i="20" s="1"/>
  <c r="CB46" i="20"/>
  <c r="CC46" i="20"/>
  <c r="CC47" i="20" s="1"/>
  <c r="CD46" i="20"/>
  <c r="CD47" i="20" s="1"/>
  <c r="CE46" i="20"/>
  <c r="CE47" i="20" s="1"/>
  <c r="CF46" i="20"/>
  <c r="CF47" i="20" s="1"/>
  <c r="CG46" i="20"/>
  <c r="CG47" i="20" s="1"/>
  <c r="CH46" i="20"/>
  <c r="CH47" i="20" s="1"/>
  <c r="CI46" i="20"/>
  <c r="CJ46" i="20"/>
  <c r="CJ47" i="20" s="1"/>
  <c r="CM46" i="20"/>
  <c r="CM47" i="20" s="1"/>
  <c r="CN46" i="20"/>
  <c r="CN47" i="20" s="1"/>
  <c r="CO46" i="20"/>
  <c r="CO47" i="20" s="1"/>
  <c r="AB47" i="20"/>
  <c r="H46" i="20"/>
  <c r="CP46" i="20" l="1"/>
  <c r="CI47" i="20"/>
  <c r="CB47" i="20"/>
  <c r="BV47" i="20"/>
  <c r="BN47" i="20"/>
  <c r="BC47" i="20"/>
  <c r="AV47" i="20"/>
  <c r="AN47" i="20"/>
  <c r="AF47" i="20"/>
  <c r="Y47" i="20"/>
  <c r="P47" i="20"/>
  <c r="H47" i="20"/>
  <c r="G23" i="21"/>
  <c r="G22" i="21"/>
  <c r="G21" i="21"/>
  <c r="G25" i="21"/>
  <c r="G24" i="21"/>
  <c r="G20" i="21"/>
  <c r="G19" i="21"/>
  <c r="G18" i="21"/>
  <c r="G16" i="21"/>
  <c r="G15" i="21"/>
  <c r="G14" i="21"/>
  <c r="G13" i="21"/>
  <c r="CP47" i="20" l="1"/>
  <c r="F32" i="20"/>
  <c r="G27" i="21" l="1"/>
  <c r="H25" i="21"/>
  <c r="H24" i="21"/>
  <c r="H23" i="21"/>
  <c r="H22" i="21"/>
  <c r="H21" i="21"/>
  <c r="H20" i="21"/>
  <c r="H19" i="21"/>
  <c r="H18" i="21"/>
  <c r="G17" i="21"/>
  <c r="H16" i="21"/>
  <c r="H15" i="21"/>
  <c r="H13" i="21"/>
  <c r="G12" i="21"/>
  <c r="H26" i="21"/>
  <c r="E32" i="20"/>
  <c r="A2" i="15"/>
  <c r="E38" i="21"/>
  <c r="H33" i="21"/>
  <c r="H32" i="21"/>
  <c r="H37" i="21"/>
  <c r="H17" i="21" l="1"/>
  <c r="H27" i="21"/>
  <c r="I3" i="15"/>
  <c r="B82" i="21"/>
  <c r="C28" i="21"/>
  <c r="C69" i="21" s="1"/>
  <c r="G70" i="21" s="1"/>
  <c r="G75" i="21" s="1"/>
  <c r="H31" i="21"/>
  <c r="C82" i="21"/>
  <c r="H14" i="21"/>
  <c r="H34" i="21"/>
  <c r="H35" i="21"/>
  <c r="C81" i="21"/>
  <c r="C83" i="21"/>
  <c r="I13" i="15"/>
  <c r="C57" i="21" l="1"/>
  <c r="G58" i="21" s="1"/>
  <c r="G74" i="21" s="1"/>
  <c r="H74" i="21" s="1"/>
  <c r="C66" i="21"/>
  <c r="G67" i="21" s="1"/>
  <c r="G72" i="21" s="1"/>
  <c r="C63" i="21"/>
  <c r="G64" i="21" s="1"/>
  <c r="G76" i="21" s="1"/>
  <c r="H76" i="21" s="1"/>
  <c r="G82" i="21"/>
  <c r="B83" i="21"/>
  <c r="G83" i="21" s="1"/>
  <c r="G28" i="21"/>
  <c r="H12" i="21"/>
  <c r="H28" i="21" s="1"/>
  <c r="H75" i="21"/>
  <c r="H72" i="21"/>
  <c r="B81" i="21"/>
  <c r="H38" i="21"/>
  <c r="F76" i="16"/>
  <c r="E76" i="16"/>
  <c r="D76" i="16"/>
  <c r="E39" i="21" l="1"/>
  <c r="C60" i="21" s="1"/>
  <c r="G61" i="21" s="1"/>
  <c r="B84" i="21"/>
  <c r="H39" i="21"/>
  <c r="G81" i="21"/>
  <c r="H84" i="21" s="1"/>
  <c r="F772" i="15"/>
  <c r="G772" i="15"/>
  <c r="H772" i="15"/>
  <c r="E772" i="15"/>
  <c r="I771" i="15"/>
  <c r="G78" i="21" l="1"/>
  <c r="H78" i="21" s="1"/>
  <c r="H96" i="21" s="1"/>
  <c r="G77" i="21"/>
  <c r="H77" i="21" s="1"/>
  <c r="E43" i="21"/>
  <c r="H43" i="21" s="1"/>
  <c r="E42" i="21"/>
  <c r="H42" i="21" s="1"/>
  <c r="E14" i="15"/>
  <c r="G4" i="18"/>
  <c r="G4" i="16"/>
  <c r="I772" i="15"/>
  <c r="E8" i="15" l="1"/>
  <c r="H44" i="21"/>
  <c r="I770" i="15"/>
  <c r="I765" i="15"/>
  <c r="I764" i="15"/>
  <c r="I763" i="15"/>
  <c r="I756" i="15"/>
  <c r="I753" i="15"/>
  <c r="I752" i="15"/>
  <c r="I749" i="15"/>
  <c r="I748" i="15"/>
  <c r="I747" i="15"/>
  <c r="I746" i="15"/>
  <c r="I745" i="15"/>
  <c r="I744" i="15"/>
  <c r="I743" i="15"/>
  <c r="I742" i="15"/>
  <c r="I741" i="15"/>
  <c r="I740" i="15"/>
  <c r="I739" i="15"/>
  <c r="I738" i="15"/>
  <c r="I737" i="15"/>
  <c r="I736" i="15"/>
  <c r="I735" i="15"/>
  <c r="I734" i="15"/>
  <c r="I733" i="15"/>
  <c r="I732" i="15"/>
  <c r="I731" i="15"/>
  <c r="I730" i="15"/>
  <c r="I729" i="15"/>
  <c r="I728" i="15"/>
  <c r="I727" i="15"/>
  <c r="I726" i="15"/>
  <c r="I725" i="15"/>
  <c r="I724" i="15"/>
  <c r="I723" i="15"/>
  <c r="I722" i="15"/>
  <c r="I721" i="15"/>
  <c r="I720" i="15"/>
  <c r="I719" i="15"/>
  <c r="I718" i="15"/>
  <c r="I717" i="15"/>
  <c r="I716" i="15"/>
  <c r="I715" i="15"/>
  <c r="I714" i="15"/>
  <c r="I713" i="15"/>
  <c r="I712" i="15"/>
  <c r="I711" i="15"/>
  <c r="I710" i="15"/>
  <c r="I707" i="15"/>
  <c r="I706" i="15"/>
  <c r="I705" i="15"/>
  <c r="I704" i="15"/>
  <c r="I703" i="15"/>
  <c r="I702" i="15"/>
  <c r="I701" i="15"/>
  <c r="I700" i="15"/>
  <c r="I699" i="15"/>
  <c r="I698" i="15"/>
  <c r="I697" i="15"/>
  <c r="I696" i="15"/>
  <c r="I695" i="15"/>
  <c r="I694" i="15"/>
  <c r="I693" i="15"/>
  <c r="I692" i="15"/>
  <c r="I691" i="15"/>
  <c r="I690" i="15"/>
  <c r="I689" i="15"/>
  <c r="I688" i="15"/>
  <c r="I687" i="15"/>
  <c r="I686" i="15"/>
  <c r="I685" i="15"/>
  <c r="I684" i="15"/>
  <c r="I683" i="15"/>
  <c r="I682" i="15"/>
  <c r="I681" i="15"/>
  <c r="I680" i="15"/>
  <c r="I679" i="15"/>
  <c r="I678" i="15"/>
  <c r="I677" i="15"/>
  <c r="I676" i="15"/>
  <c r="I675" i="15"/>
  <c r="I674" i="15"/>
  <c r="I673" i="15"/>
  <c r="I672" i="15"/>
  <c r="I671" i="15"/>
  <c r="I670" i="15"/>
  <c r="I669" i="15"/>
  <c r="I668" i="15"/>
  <c r="I665" i="15"/>
  <c r="I664" i="15"/>
  <c r="I663" i="15"/>
  <c r="I662" i="15"/>
  <c r="I661" i="15"/>
  <c r="I660" i="15"/>
  <c r="I659" i="15"/>
  <c r="I658" i="15"/>
  <c r="I657" i="15"/>
  <c r="I656" i="15"/>
  <c r="I655" i="15"/>
  <c r="I654" i="15"/>
  <c r="I653" i="15"/>
  <c r="I652" i="15"/>
  <c r="I651" i="15"/>
  <c r="I650" i="15"/>
  <c r="I649" i="15"/>
  <c r="I648" i="15"/>
  <c r="I647" i="15"/>
  <c r="I646" i="15"/>
  <c r="I645" i="15"/>
  <c r="I644" i="15"/>
  <c r="I643" i="15"/>
  <c r="I642" i="15"/>
  <c r="I641" i="15"/>
  <c r="I640" i="15"/>
  <c r="I639" i="15"/>
  <c r="I638" i="15"/>
  <c r="I637" i="15"/>
  <c r="I636" i="15"/>
  <c r="I635" i="15"/>
  <c r="I634" i="15"/>
  <c r="I633" i="15"/>
  <c r="I632" i="15"/>
  <c r="I631" i="15"/>
  <c r="I630" i="15"/>
  <c r="I629" i="15"/>
  <c r="I628" i="15"/>
  <c r="I627" i="15"/>
  <c r="I626" i="15"/>
  <c r="I623" i="15"/>
  <c r="I622" i="15"/>
  <c r="I621" i="15"/>
  <c r="I620" i="15"/>
  <c r="I619" i="15"/>
  <c r="I618" i="15"/>
  <c r="I617" i="15"/>
  <c r="I616" i="15"/>
  <c r="I615" i="15"/>
  <c r="I614" i="15"/>
  <c r="I613" i="15"/>
  <c r="I612" i="15"/>
  <c r="I611" i="15"/>
  <c r="I610" i="15"/>
  <c r="I609" i="15"/>
  <c r="I608" i="15"/>
  <c r="I607" i="15"/>
  <c r="I606" i="15"/>
  <c r="I605" i="15"/>
  <c r="I604" i="15"/>
  <c r="I603" i="15"/>
  <c r="I602" i="15"/>
  <c r="I601" i="15"/>
  <c r="I600" i="15"/>
  <c r="I599" i="15"/>
  <c r="I598" i="15"/>
  <c r="I597" i="15"/>
  <c r="I596" i="15"/>
  <c r="I595" i="15"/>
  <c r="I594" i="15"/>
  <c r="I593" i="15"/>
  <c r="I592" i="15"/>
  <c r="I591" i="15"/>
  <c r="I590" i="15"/>
  <c r="I589" i="15"/>
  <c r="I588" i="15"/>
  <c r="I587" i="15"/>
  <c r="I586" i="15"/>
  <c r="I585" i="15"/>
  <c r="I584" i="15"/>
  <c r="I581" i="15"/>
  <c r="I580" i="15"/>
  <c r="I579" i="15"/>
  <c r="I578" i="15"/>
  <c r="I577" i="15"/>
  <c r="I576" i="15"/>
  <c r="I575" i="15"/>
  <c r="I574" i="15"/>
  <c r="I573" i="15"/>
  <c r="I572" i="15"/>
  <c r="I571" i="15"/>
  <c r="I570" i="15"/>
  <c r="I569" i="15"/>
  <c r="I568" i="15"/>
  <c r="I567" i="15"/>
  <c r="I566" i="15"/>
  <c r="I565" i="15"/>
  <c r="I564" i="15"/>
  <c r="I563" i="15"/>
  <c r="I562" i="15"/>
  <c r="I561" i="15"/>
  <c r="I560" i="15"/>
  <c r="I559" i="15"/>
  <c r="I558" i="15"/>
  <c r="I557" i="15"/>
  <c r="I556" i="15"/>
  <c r="I555" i="15"/>
  <c r="I554" i="15"/>
  <c r="I553" i="15"/>
  <c r="I552" i="15"/>
  <c r="I551" i="15"/>
  <c r="I550" i="15"/>
  <c r="I549" i="15"/>
  <c r="I548" i="15"/>
  <c r="I547" i="15"/>
  <c r="I546" i="15"/>
  <c r="I545" i="15"/>
  <c r="I544" i="15"/>
  <c r="I543" i="15"/>
  <c r="I542" i="15"/>
  <c r="I541" i="15"/>
  <c r="I538" i="15"/>
  <c r="I537" i="15"/>
  <c r="I536" i="15"/>
  <c r="I535" i="15"/>
  <c r="I534" i="15"/>
  <c r="I533" i="15"/>
  <c r="I532" i="15"/>
  <c r="I531" i="15"/>
  <c r="I530" i="15"/>
  <c r="I529" i="15"/>
  <c r="I528" i="15"/>
  <c r="I527" i="15"/>
  <c r="I526" i="15"/>
  <c r="I525" i="15"/>
  <c r="I524" i="15"/>
  <c r="I523" i="15"/>
  <c r="I522" i="15"/>
  <c r="I521" i="15"/>
  <c r="I520" i="15"/>
  <c r="I519" i="15"/>
  <c r="I518" i="15"/>
  <c r="I517" i="15"/>
  <c r="I516" i="15"/>
  <c r="I515" i="15"/>
  <c r="I514" i="15"/>
  <c r="I513" i="15"/>
  <c r="I512" i="15"/>
  <c r="I511" i="15"/>
  <c r="I510" i="15"/>
  <c r="I509" i="15"/>
  <c r="I508" i="15"/>
  <c r="I507" i="15"/>
  <c r="I506" i="15"/>
  <c r="I505" i="15"/>
  <c r="I504" i="15"/>
  <c r="I503" i="15"/>
  <c r="I502" i="15"/>
  <c r="I501" i="15"/>
  <c r="I500" i="15"/>
  <c r="I499" i="15"/>
  <c r="I496" i="15"/>
  <c r="I495" i="15"/>
  <c r="I494" i="15"/>
  <c r="I493" i="15"/>
  <c r="I492" i="15"/>
  <c r="I491" i="15"/>
  <c r="I490" i="15"/>
  <c r="I489" i="15"/>
  <c r="I488" i="15"/>
  <c r="I487" i="15"/>
  <c r="I486" i="15"/>
  <c r="I485" i="15"/>
  <c r="I484" i="15"/>
  <c r="I483" i="15"/>
  <c r="I482" i="15"/>
  <c r="I481" i="15"/>
  <c r="I480" i="15"/>
  <c r="I479" i="15"/>
  <c r="I478" i="15"/>
  <c r="I477" i="15"/>
  <c r="I476" i="15"/>
  <c r="I475" i="15"/>
  <c r="I474" i="15"/>
  <c r="I473" i="15"/>
  <c r="I472" i="15"/>
  <c r="I471" i="15"/>
  <c r="I470" i="15"/>
  <c r="I469" i="15"/>
  <c r="I468" i="15"/>
  <c r="I467" i="15"/>
  <c r="I466" i="15"/>
  <c r="I465" i="15"/>
  <c r="I464" i="15"/>
  <c r="I463" i="15"/>
  <c r="I462" i="15"/>
  <c r="I461" i="15"/>
  <c r="I460" i="15"/>
  <c r="I459" i="15"/>
  <c r="I458" i="15"/>
  <c r="I457" i="15"/>
  <c r="I454" i="15"/>
  <c r="I453" i="15"/>
  <c r="I452" i="15"/>
  <c r="I451" i="15"/>
  <c r="I450" i="15"/>
  <c r="I449" i="15"/>
  <c r="I448" i="15"/>
  <c r="I447" i="15"/>
  <c r="I446" i="15"/>
  <c r="I445" i="15"/>
  <c r="I444" i="15"/>
  <c r="I443" i="15"/>
  <c r="I442" i="15"/>
  <c r="I441" i="15"/>
  <c r="I440" i="15"/>
  <c r="I439" i="15"/>
  <c r="I438" i="15"/>
  <c r="I437" i="15"/>
  <c r="I436" i="15"/>
  <c r="I435" i="15"/>
  <c r="I434" i="15"/>
  <c r="I433" i="15"/>
  <c r="I432" i="15"/>
  <c r="I431" i="15"/>
  <c r="I430" i="15"/>
  <c r="I429" i="15"/>
  <c r="I428" i="15"/>
  <c r="I427" i="15"/>
  <c r="I426" i="15"/>
  <c r="I425" i="15"/>
  <c r="I424" i="15"/>
  <c r="I423" i="15"/>
  <c r="I422" i="15"/>
  <c r="I421" i="15"/>
  <c r="I420" i="15"/>
  <c r="I419" i="15"/>
  <c r="I418" i="15"/>
  <c r="I417" i="15"/>
  <c r="I416" i="15"/>
  <c r="I415" i="15"/>
  <c r="I412" i="15"/>
  <c r="I411" i="15"/>
  <c r="I408" i="15"/>
  <c r="I407" i="15"/>
  <c r="I406" i="15"/>
  <c r="I405" i="15"/>
  <c r="I404" i="15"/>
  <c r="I403" i="15"/>
  <c r="I402" i="15"/>
  <c r="I401" i="15"/>
  <c r="I400" i="15"/>
  <c r="I399" i="15"/>
  <c r="I398" i="15"/>
  <c r="I397" i="15"/>
  <c r="I396" i="15"/>
  <c r="I395" i="15"/>
  <c r="I394" i="15"/>
  <c r="I393" i="15"/>
  <c r="I392" i="15"/>
  <c r="I391" i="15"/>
  <c r="I390" i="15"/>
  <c r="I389" i="15"/>
  <c r="I388" i="15"/>
  <c r="I387" i="15"/>
  <c r="I386" i="15"/>
  <c r="I385" i="15"/>
  <c r="I384" i="15"/>
  <c r="I383" i="15"/>
  <c r="I382" i="15"/>
  <c r="I381" i="15"/>
  <c r="I380" i="15"/>
  <c r="I379" i="15"/>
  <c r="I378" i="15"/>
  <c r="I377" i="15"/>
  <c r="I376" i="15"/>
  <c r="I375" i="15"/>
  <c r="I374" i="15"/>
  <c r="I373" i="15"/>
  <c r="I372" i="15"/>
  <c r="I371" i="15"/>
  <c r="I370" i="15"/>
  <c r="I369" i="15"/>
  <c r="I366" i="15"/>
  <c r="I365" i="15"/>
  <c r="I364" i="15"/>
  <c r="I363" i="15"/>
  <c r="I362" i="15"/>
  <c r="I361" i="15"/>
  <c r="I360" i="15"/>
  <c r="I359" i="15"/>
  <c r="I358" i="15"/>
  <c r="I357" i="15"/>
  <c r="I356" i="15"/>
  <c r="I355" i="15"/>
  <c r="I354" i="15"/>
  <c r="I353" i="15"/>
  <c r="I352" i="15"/>
  <c r="I351" i="15"/>
  <c r="I350" i="15"/>
  <c r="I349" i="15"/>
  <c r="I348" i="15"/>
  <c r="I347" i="15"/>
  <c r="I346" i="15"/>
  <c r="I345" i="15"/>
  <c r="I344" i="15"/>
  <c r="I343" i="15"/>
  <c r="I342" i="15"/>
  <c r="I341" i="15"/>
  <c r="I340" i="15"/>
  <c r="I339" i="15"/>
  <c r="I338" i="15"/>
  <c r="I337" i="15"/>
  <c r="I336" i="15"/>
  <c r="I335" i="15"/>
  <c r="I334" i="15"/>
  <c r="I333" i="15"/>
  <c r="I332" i="15"/>
  <c r="I331" i="15"/>
  <c r="I330" i="15"/>
  <c r="I329" i="15"/>
  <c r="I328" i="15"/>
  <c r="I327" i="15"/>
  <c r="I324" i="15"/>
  <c r="I323" i="15"/>
  <c r="I322" i="15"/>
  <c r="I321" i="15"/>
  <c r="I320" i="15"/>
  <c r="I319" i="15"/>
  <c r="I318" i="15"/>
  <c r="I317" i="15"/>
  <c r="I316" i="15"/>
  <c r="I315" i="15"/>
  <c r="I314" i="15"/>
  <c r="I313" i="15"/>
  <c r="I312" i="15"/>
  <c r="I311" i="15"/>
  <c r="I310" i="15"/>
  <c r="I309" i="15"/>
  <c r="I308" i="15"/>
  <c r="I307" i="15"/>
  <c r="I306" i="15"/>
  <c r="I305" i="15"/>
  <c r="I304" i="15"/>
  <c r="I303" i="15"/>
  <c r="I302" i="15"/>
  <c r="I301" i="15"/>
  <c r="I300" i="15"/>
  <c r="I299" i="15"/>
  <c r="I298" i="15"/>
  <c r="I297" i="15"/>
  <c r="I296" i="15"/>
  <c r="I295" i="15"/>
  <c r="I294" i="15"/>
  <c r="I293" i="15"/>
  <c r="I292" i="15"/>
  <c r="I291" i="15"/>
  <c r="I290" i="15"/>
  <c r="I289" i="15"/>
  <c r="I288" i="15"/>
  <c r="I287" i="15"/>
  <c r="I286" i="15"/>
  <c r="I285" i="15"/>
  <c r="I282" i="15"/>
  <c r="I281" i="15"/>
  <c r="I280" i="15"/>
  <c r="I279" i="15"/>
  <c r="I278" i="15"/>
  <c r="I277" i="15"/>
  <c r="I276" i="15"/>
  <c r="I275" i="15"/>
  <c r="I274" i="15"/>
  <c r="I273" i="15"/>
  <c r="I272" i="15"/>
  <c r="I271" i="15"/>
  <c r="I270" i="15"/>
  <c r="I269" i="15"/>
  <c r="I268" i="15"/>
  <c r="I267" i="15"/>
  <c r="I266" i="15"/>
  <c r="I265" i="15"/>
  <c r="I264" i="15"/>
  <c r="I263" i="15"/>
  <c r="I262" i="15"/>
  <c r="I261" i="15"/>
  <c r="I260" i="15"/>
  <c r="I259" i="15"/>
  <c r="I258" i="15"/>
  <c r="I257" i="15"/>
  <c r="I256" i="15"/>
  <c r="I255" i="15"/>
  <c r="I254" i="15"/>
  <c r="I253" i="15"/>
  <c r="I252" i="15"/>
  <c r="I251" i="15"/>
  <c r="I250" i="15"/>
  <c r="I249" i="15"/>
  <c r="I248" i="15"/>
  <c r="I247" i="15"/>
  <c r="I246" i="15"/>
  <c r="I245" i="15"/>
  <c r="I244" i="15"/>
  <c r="I243" i="15"/>
  <c r="I240" i="15"/>
  <c r="I239" i="15"/>
  <c r="I238" i="15"/>
  <c r="I237" i="15"/>
  <c r="I236" i="15"/>
  <c r="I235" i="15"/>
  <c r="I234" i="15"/>
  <c r="I233" i="15"/>
  <c r="I232" i="15"/>
  <c r="I231" i="15"/>
  <c r="I230" i="15"/>
  <c r="I229" i="15"/>
  <c r="I228" i="15"/>
  <c r="I227" i="15"/>
  <c r="I226" i="15"/>
  <c r="I225" i="15"/>
  <c r="I224" i="15"/>
  <c r="I223" i="15"/>
  <c r="I222" i="15"/>
  <c r="I221" i="15"/>
  <c r="I220" i="15"/>
  <c r="I219" i="15"/>
  <c r="I218" i="15"/>
  <c r="I217" i="15"/>
  <c r="I216" i="15"/>
  <c r="I215" i="15"/>
  <c r="I214" i="15"/>
  <c r="I213" i="15"/>
  <c r="I212" i="15"/>
  <c r="I211" i="15"/>
  <c r="I210" i="15"/>
  <c r="I209" i="15"/>
  <c r="I208" i="15"/>
  <c r="I207" i="15"/>
  <c r="I206" i="15"/>
  <c r="I205" i="15"/>
  <c r="I204" i="15"/>
  <c r="I203" i="15"/>
  <c r="I202" i="15"/>
  <c r="I201" i="15"/>
  <c r="I198" i="15"/>
  <c r="I197" i="15"/>
  <c r="I196" i="15"/>
  <c r="I195" i="15"/>
  <c r="I194" i="15"/>
  <c r="I193" i="15"/>
  <c r="I192" i="15"/>
  <c r="I191" i="15"/>
  <c r="I190" i="15"/>
  <c r="I189" i="15"/>
  <c r="I188" i="15"/>
  <c r="I187" i="15"/>
  <c r="I186" i="15"/>
  <c r="I185" i="15"/>
  <c r="I184" i="15"/>
  <c r="I183" i="15"/>
  <c r="I182" i="15"/>
  <c r="I181" i="15"/>
  <c r="I180" i="15"/>
  <c r="I179" i="15"/>
  <c r="I178" i="15"/>
  <c r="I177" i="15"/>
  <c r="I176" i="15"/>
  <c r="I175" i="15"/>
  <c r="I174" i="15"/>
  <c r="I173" i="15"/>
  <c r="I172" i="15"/>
  <c r="I171" i="15"/>
  <c r="I170" i="15"/>
  <c r="I169" i="15"/>
  <c r="I168" i="15"/>
  <c r="I167" i="15"/>
  <c r="I166" i="15"/>
  <c r="I165" i="15"/>
  <c r="I164" i="15"/>
  <c r="I163" i="15"/>
  <c r="I162" i="15"/>
  <c r="I161" i="15"/>
  <c r="I160" i="15"/>
  <c r="I159" i="15"/>
  <c r="I156" i="15"/>
  <c r="I155" i="15"/>
  <c r="I154" i="15"/>
  <c r="I153" i="15"/>
  <c r="I152" i="15"/>
  <c r="I151" i="15"/>
  <c r="I150" i="15"/>
  <c r="I149" i="15"/>
  <c r="I148" i="15"/>
  <c r="I147" i="15"/>
  <c r="I146" i="15"/>
  <c r="I145" i="15"/>
  <c r="I144" i="15"/>
  <c r="I143" i="15"/>
  <c r="I142" i="15"/>
  <c r="I141" i="15"/>
  <c r="I140" i="15"/>
  <c r="I139" i="15"/>
  <c r="I138" i="15"/>
  <c r="I137" i="15"/>
  <c r="I136" i="15"/>
  <c r="I135" i="15"/>
  <c r="I134" i="15"/>
  <c r="I133" i="15"/>
  <c r="I132" i="15"/>
  <c r="I131" i="15"/>
  <c r="I130" i="15"/>
  <c r="I129" i="15"/>
  <c r="I128" i="15"/>
  <c r="I127" i="15"/>
  <c r="I126" i="15"/>
  <c r="I125" i="15"/>
  <c r="I124" i="15"/>
  <c r="I123" i="15"/>
  <c r="I122" i="15"/>
  <c r="I121" i="15"/>
  <c r="I120" i="15"/>
  <c r="I119" i="15"/>
  <c r="I118" i="15"/>
  <c r="I117" i="15"/>
  <c r="I114" i="15"/>
  <c r="I113" i="15"/>
  <c r="I112" i="15"/>
  <c r="I111" i="15"/>
  <c r="I110" i="15"/>
  <c r="I109" i="15"/>
  <c r="I108" i="15"/>
  <c r="I107" i="15"/>
  <c r="I106" i="15"/>
  <c r="I105" i="15"/>
  <c r="I104" i="15"/>
  <c r="I103" i="15"/>
  <c r="I102" i="15"/>
  <c r="I101" i="15"/>
  <c r="I100" i="15"/>
  <c r="I99" i="15"/>
  <c r="I98" i="15"/>
  <c r="I97" i="15"/>
  <c r="I96" i="15"/>
  <c r="I95" i="15"/>
  <c r="I94" i="15"/>
  <c r="I93" i="15"/>
  <c r="I92" i="15"/>
  <c r="I91" i="15"/>
  <c r="I90" i="15"/>
  <c r="I89" i="15"/>
  <c r="I88" i="15"/>
  <c r="I87" i="15"/>
  <c r="I86" i="15"/>
  <c r="I85" i="15"/>
  <c r="I84" i="15"/>
  <c r="I83" i="15"/>
  <c r="I82" i="15"/>
  <c r="I81" i="15"/>
  <c r="I80" i="15"/>
  <c r="I79" i="15"/>
  <c r="I78" i="15"/>
  <c r="I77" i="15"/>
  <c r="I76" i="15"/>
  <c r="I75" i="15"/>
  <c r="I72" i="15"/>
  <c r="I71" i="15"/>
  <c r="I70" i="15"/>
  <c r="I69" i="15"/>
  <c r="I68" i="15"/>
  <c r="I67" i="15"/>
  <c r="I66" i="15"/>
  <c r="I65" i="15"/>
  <c r="I64" i="15"/>
  <c r="I63" i="15"/>
  <c r="I62" i="15"/>
  <c r="I61" i="15"/>
  <c r="I60" i="15"/>
  <c r="I59" i="15"/>
  <c r="I58" i="15"/>
  <c r="I57" i="15"/>
  <c r="I56" i="15"/>
  <c r="I55" i="15"/>
  <c r="I54" i="15"/>
  <c r="I53" i="15"/>
  <c r="I52" i="15"/>
  <c r="I51" i="15"/>
  <c r="I50" i="15"/>
  <c r="I49" i="15"/>
  <c r="I48" i="15"/>
  <c r="I47" i="15"/>
  <c r="I46" i="15"/>
  <c r="I45" i="15"/>
  <c r="I44" i="15"/>
  <c r="I43" i="15"/>
  <c r="I42" i="15"/>
  <c r="I41" i="15"/>
  <c r="I40" i="15"/>
  <c r="I39" i="15"/>
  <c r="I38" i="15"/>
  <c r="I37" i="15"/>
  <c r="I36" i="15"/>
  <c r="I35" i="15"/>
  <c r="I34" i="15"/>
  <c r="I33" i="15"/>
  <c r="I28" i="15"/>
  <c r="I27" i="15"/>
  <c r="I26" i="15"/>
  <c r="I25" i="15"/>
  <c r="I22" i="15"/>
  <c r="I21" i="15"/>
  <c r="I20" i="15"/>
  <c r="I19" i="15"/>
  <c r="I18" i="15"/>
  <c r="I17" i="15"/>
  <c r="I16" i="15"/>
  <c r="I15" i="15"/>
  <c r="I12" i="15"/>
  <c r="I11" i="15"/>
  <c r="I10" i="15"/>
  <c r="I9" i="15"/>
  <c r="H766" i="15"/>
  <c r="G766" i="15"/>
  <c r="F766" i="15"/>
  <c r="E766" i="15"/>
  <c r="E23" i="15"/>
  <c r="I23" i="15" s="1"/>
  <c r="H98" i="21" l="1"/>
  <c r="I766" i="15"/>
  <c r="G29" i="15"/>
  <c r="G759" i="15" s="1"/>
  <c r="I754" i="15"/>
  <c r="I750" i="15"/>
  <c r="I708" i="15"/>
  <c r="I666" i="15"/>
  <c r="I624" i="15"/>
  <c r="I582" i="15"/>
  <c r="I539" i="15"/>
  <c r="I497" i="15"/>
  <c r="I455" i="15"/>
  <c r="I413" i="15"/>
  <c r="I409" i="15"/>
  <c r="I367" i="15"/>
  <c r="I325" i="15"/>
  <c r="I283" i="15"/>
  <c r="I241" i="15"/>
  <c r="I199" i="15"/>
  <c r="I157" i="15"/>
  <c r="I115" i="15"/>
  <c r="I73" i="15"/>
  <c r="H754" i="15"/>
  <c r="H750" i="15"/>
  <c r="H708" i="15"/>
  <c r="H666" i="15"/>
  <c r="H624" i="15"/>
  <c r="H582" i="15"/>
  <c r="H539" i="15"/>
  <c r="H497" i="15"/>
  <c r="H455" i="15"/>
  <c r="H413" i="15"/>
  <c r="H409" i="15"/>
  <c r="H367" i="15"/>
  <c r="H325" i="15"/>
  <c r="H283" i="15"/>
  <c r="H241" i="15"/>
  <c r="H199" i="15"/>
  <c r="H157" i="15"/>
  <c r="H115" i="15"/>
  <c r="H73" i="15"/>
  <c r="H29" i="15"/>
  <c r="H759" i="15" s="1"/>
  <c r="G754" i="15"/>
  <c r="G750" i="15"/>
  <c r="G708" i="15"/>
  <c r="G666" i="15"/>
  <c r="G624" i="15"/>
  <c r="G582" i="15"/>
  <c r="G539" i="15"/>
  <c r="G497" i="15"/>
  <c r="G455" i="15"/>
  <c r="G413" i="15"/>
  <c r="G409" i="15"/>
  <c r="G367" i="15"/>
  <c r="G325" i="15"/>
  <c r="G283" i="15"/>
  <c r="G241" i="15"/>
  <c r="G199" i="15"/>
  <c r="G157" i="15"/>
  <c r="G115" i="15"/>
  <c r="G73" i="15"/>
  <c r="F754" i="15"/>
  <c r="F750" i="15"/>
  <c r="F708" i="15"/>
  <c r="F666" i="15"/>
  <c r="F624" i="15"/>
  <c r="F582" i="15"/>
  <c r="F539" i="15"/>
  <c r="F497" i="15"/>
  <c r="F455" i="15"/>
  <c r="F413" i="15"/>
  <c r="F409" i="15"/>
  <c r="F367" i="15"/>
  <c r="F325" i="15"/>
  <c r="F283" i="15"/>
  <c r="F241" i="15"/>
  <c r="F199" i="15"/>
  <c r="F157" i="15"/>
  <c r="F115" i="15"/>
  <c r="F73" i="15"/>
  <c r="G758" i="15" l="1"/>
  <c r="G760" i="15" s="1"/>
  <c r="G768" i="15" s="1"/>
  <c r="G774" i="15" s="1"/>
  <c r="F758" i="15"/>
  <c r="H758" i="15"/>
  <c r="H760" i="15" s="1"/>
  <c r="H768" i="15" s="1"/>
  <c r="H774" i="15" s="1"/>
  <c r="I24" i="15"/>
  <c r="E73" i="15"/>
  <c r="E115" i="15"/>
  <c r="E157" i="15"/>
  <c r="E199" i="15"/>
  <c r="E241" i="15"/>
  <c r="E283" i="15"/>
  <c r="E325" i="15"/>
  <c r="E367" i="15"/>
  <c r="E409" i="15"/>
  <c r="E413" i="15"/>
  <c r="E455" i="15"/>
  <c r="E497" i="15"/>
  <c r="E539" i="15"/>
  <c r="E582" i="15"/>
  <c r="E624" i="15"/>
  <c r="E666" i="15"/>
  <c r="E708" i="15"/>
  <c r="E750" i="15"/>
  <c r="E754" i="15"/>
  <c r="C76" i="16"/>
  <c r="G76" i="16" s="1"/>
  <c r="B710" i="15"/>
  <c r="B711" i="15"/>
  <c r="B712" i="15"/>
  <c r="B713" i="15"/>
  <c r="B714" i="15"/>
  <c r="B715" i="15"/>
  <c r="B716" i="15"/>
  <c r="B717" i="15"/>
  <c r="B718" i="15"/>
  <c r="B719" i="15"/>
  <c r="B720" i="15"/>
  <c r="B721" i="15"/>
  <c r="B722" i="15"/>
  <c r="B723" i="15"/>
  <c r="B724" i="15"/>
  <c r="B725" i="15"/>
  <c r="B726" i="15"/>
  <c r="B727" i="15"/>
  <c r="B728" i="15"/>
  <c r="B729" i="15"/>
  <c r="B730" i="15"/>
  <c r="B731" i="15"/>
  <c r="B732" i="15"/>
  <c r="B733" i="15"/>
  <c r="B734" i="15"/>
  <c r="B735" i="15"/>
  <c r="B736" i="15"/>
  <c r="B737" i="15"/>
  <c r="B738" i="15"/>
  <c r="B739" i="15"/>
  <c r="B740" i="15"/>
  <c r="B741" i="15"/>
  <c r="B742" i="15"/>
  <c r="B743" i="15"/>
  <c r="B744" i="15"/>
  <c r="B745" i="15"/>
  <c r="B746" i="15"/>
  <c r="B747" i="15"/>
  <c r="B748" i="15"/>
  <c r="B749" i="15"/>
  <c r="B752" i="15"/>
  <c r="B753" i="15"/>
  <c r="B626" i="15"/>
  <c r="B627" i="15"/>
  <c r="B628" i="15"/>
  <c r="B629" i="15"/>
  <c r="B630" i="15"/>
  <c r="B631" i="15"/>
  <c r="B632" i="15"/>
  <c r="B633" i="15"/>
  <c r="B634" i="15"/>
  <c r="B635" i="15"/>
  <c r="B636" i="15"/>
  <c r="B637" i="15"/>
  <c r="B638" i="15"/>
  <c r="B639" i="15"/>
  <c r="B640" i="15"/>
  <c r="B641" i="15"/>
  <c r="B642" i="15"/>
  <c r="B643" i="15"/>
  <c r="B644" i="15"/>
  <c r="B645" i="15"/>
  <c r="B646" i="15"/>
  <c r="B647" i="15"/>
  <c r="B648" i="15"/>
  <c r="B649" i="15"/>
  <c r="B650" i="15"/>
  <c r="B651" i="15"/>
  <c r="B652" i="15"/>
  <c r="B653" i="15"/>
  <c r="B654" i="15"/>
  <c r="B655" i="15"/>
  <c r="B656" i="15"/>
  <c r="B657" i="15"/>
  <c r="B658" i="15"/>
  <c r="B659" i="15"/>
  <c r="B660" i="15"/>
  <c r="B661" i="15"/>
  <c r="B662" i="15"/>
  <c r="B663" i="15"/>
  <c r="B664" i="15"/>
  <c r="B665" i="15"/>
  <c r="B668" i="15"/>
  <c r="B669" i="15"/>
  <c r="B670" i="15"/>
  <c r="B671" i="15"/>
  <c r="B672" i="15"/>
  <c r="B673" i="15"/>
  <c r="B674" i="15"/>
  <c r="B675" i="15"/>
  <c r="B676" i="15"/>
  <c r="B677" i="15"/>
  <c r="B678" i="15"/>
  <c r="B679" i="15"/>
  <c r="B680" i="15"/>
  <c r="B681" i="15"/>
  <c r="B682" i="15"/>
  <c r="B683" i="15"/>
  <c r="B684" i="15"/>
  <c r="B685" i="15"/>
  <c r="B686" i="15"/>
  <c r="B687" i="15"/>
  <c r="B688" i="15"/>
  <c r="B689" i="15"/>
  <c r="B690" i="15"/>
  <c r="B691" i="15"/>
  <c r="B692" i="15"/>
  <c r="B693" i="15"/>
  <c r="B694" i="15"/>
  <c r="B695" i="15"/>
  <c r="B696" i="15"/>
  <c r="B697" i="15"/>
  <c r="B698" i="15"/>
  <c r="B699" i="15"/>
  <c r="B700" i="15"/>
  <c r="B701" i="15"/>
  <c r="B702" i="15"/>
  <c r="B703" i="15"/>
  <c r="B704" i="15"/>
  <c r="B705" i="15"/>
  <c r="B706" i="15"/>
  <c r="B707" i="15"/>
  <c r="B584" i="15"/>
  <c r="B585" i="15"/>
  <c r="B586" i="15"/>
  <c r="B587" i="15"/>
  <c r="B588" i="15"/>
  <c r="B589" i="15"/>
  <c r="B590" i="15"/>
  <c r="B591" i="15"/>
  <c r="B592" i="15"/>
  <c r="B593" i="15"/>
  <c r="B594" i="15"/>
  <c r="B595" i="15"/>
  <c r="B596" i="15"/>
  <c r="B597" i="15"/>
  <c r="B598" i="15"/>
  <c r="B599" i="15"/>
  <c r="B600" i="15"/>
  <c r="B601" i="15"/>
  <c r="B602" i="15"/>
  <c r="B603" i="15"/>
  <c r="B604" i="15"/>
  <c r="B605" i="15"/>
  <c r="B606" i="15"/>
  <c r="B607" i="15"/>
  <c r="B608" i="15"/>
  <c r="B609" i="15"/>
  <c r="B610" i="15"/>
  <c r="B611" i="15"/>
  <c r="B612" i="15"/>
  <c r="B613" i="15"/>
  <c r="B614" i="15"/>
  <c r="B615" i="15"/>
  <c r="B616" i="15"/>
  <c r="B617" i="15"/>
  <c r="B618" i="15"/>
  <c r="B619" i="15"/>
  <c r="B620" i="15"/>
  <c r="B621" i="15"/>
  <c r="B622" i="15"/>
  <c r="B623" i="15"/>
  <c r="B327" i="15"/>
  <c r="B328" i="15"/>
  <c r="B329" i="15"/>
  <c r="B330" i="15"/>
  <c r="B331" i="15"/>
  <c r="B332" i="15"/>
  <c r="B333" i="15"/>
  <c r="B334" i="15"/>
  <c r="B335" i="15"/>
  <c r="B336" i="15"/>
  <c r="B337" i="15"/>
  <c r="B338" i="15"/>
  <c r="B339" i="15"/>
  <c r="B340" i="15"/>
  <c r="B341" i="15"/>
  <c r="B342" i="15"/>
  <c r="B343" i="15"/>
  <c r="B344" i="15"/>
  <c r="B345" i="15"/>
  <c r="B346" i="15"/>
  <c r="B347" i="15"/>
  <c r="B348" i="15"/>
  <c r="B349" i="15"/>
  <c r="B350" i="15"/>
  <c r="B351" i="15"/>
  <c r="B352" i="15"/>
  <c r="B353" i="15"/>
  <c r="B354" i="15"/>
  <c r="B355" i="15"/>
  <c r="B356" i="15"/>
  <c r="B357" i="15"/>
  <c r="B358" i="15"/>
  <c r="B359" i="15"/>
  <c r="B360" i="15"/>
  <c r="B361" i="15"/>
  <c r="B362" i="15"/>
  <c r="B363" i="15"/>
  <c r="B364" i="15"/>
  <c r="B365" i="15"/>
  <c r="B366" i="15"/>
  <c r="B369" i="15"/>
  <c r="B370" i="15"/>
  <c r="B371" i="15"/>
  <c r="B372" i="15"/>
  <c r="B373" i="15"/>
  <c r="B374" i="15"/>
  <c r="B375" i="15"/>
  <c r="B376" i="15"/>
  <c r="B377" i="15"/>
  <c r="B378" i="15"/>
  <c r="B379" i="15"/>
  <c r="B380" i="15"/>
  <c r="B381" i="15"/>
  <c r="B382" i="15"/>
  <c r="B383" i="15"/>
  <c r="B384" i="15"/>
  <c r="B385" i="15"/>
  <c r="B386" i="15"/>
  <c r="B387" i="15"/>
  <c r="B388" i="15"/>
  <c r="B389" i="15"/>
  <c r="B390" i="15"/>
  <c r="B391" i="15"/>
  <c r="B392" i="15"/>
  <c r="B393" i="15"/>
  <c r="B394" i="15"/>
  <c r="B395" i="15"/>
  <c r="B396" i="15"/>
  <c r="B397" i="15"/>
  <c r="B398" i="15"/>
  <c r="B399" i="15"/>
  <c r="B400" i="15"/>
  <c r="B401" i="15"/>
  <c r="B402" i="15"/>
  <c r="B403" i="15"/>
  <c r="B404" i="15"/>
  <c r="B405" i="15"/>
  <c r="B406" i="15"/>
  <c r="B407" i="15"/>
  <c r="B408" i="15"/>
  <c r="B411" i="15"/>
  <c r="B412" i="15"/>
  <c r="B415" i="15"/>
  <c r="B416" i="15"/>
  <c r="B417" i="15"/>
  <c r="B418" i="15"/>
  <c r="B419" i="15"/>
  <c r="B420" i="15"/>
  <c r="B421" i="15"/>
  <c r="B422" i="15"/>
  <c r="B423" i="15"/>
  <c r="B424" i="15"/>
  <c r="B425" i="15"/>
  <c r="B426" i="15"/>
  <c r="B427" i="15"/>
  <c r="B428" i="15"/>
  <c r="B429" i="15"/>
  <c r="B430" i="15"/>
  <c r="B431" i="15"/>
  <c r="B432" i="15"/>
  <c r="B433" i="15"/>
  <c r="B434" i="15"/>
  <c r="B435" i="15"/>
  <c r="B436" i="15"/>
  <c r="B437" i="15"/>
  <c r="B438" i="15"/>
  <c r="B439" i="15"/>
  <c r="B440" i="15"/>
  <c r="B441" i="15"/>
  <c r="B442" i="15"/>
  <c r="B443" i="15"/>
  <c r="B444" i="15"/>
  <c r="B445" i="15"/>
  <c r="B446" i="15"/>
  <c r="B447" i="15"/>
  <c r="B448" i="15"/>
  <c r="B449" i="15"/>
  <c r="B450" i="15"/>
  <c r="B451" i="15"/>
  <c r="B452" i="15"/>
  <c r="B453" i="15"/>
  <c r="B454" i="15"/>
  <c r="B457" i="15"/>
  <c r="B458" i="15"/>
  <c r="B459" i="15"/>
  <c r="B460" i="15"/>
  <c r="B461" i="15"/>
  <c r="B462" i="15"/>
  <c r="B463" i="15"/>
  <c r="B464" i="15"/>
  <c r="B465" i="15"/>
  <c r="B466" i="15"/>
  <c r="B467" i="15"/>
  <c r="B468" i="15"/>
  <c r="B469" i="15"/>
  <c r="B470" i="15"/>
  <c r="B471" i="15"/>
  <c r="B472" i="15"/>
  <c r="B473" i="15"/>
  <c r="B474" i="15"/>
  <c r="B475" i="15"/>
  <c r="B476" i="15"/>
  <c r="B477" i="15"/>
  <c r="B478" i="15"/>
  <c r="B479" i="15"/>
  <c r="B480" i="15"/>
  <c r="B481" i="15"/>
  <c r="B482" i="15"/>
  <c r="B483" i="15"/>
  <c r="B484" i="15"/>
  <c r="B485" i="15"/>
  <c r="B486" i="15"/>
  <c r="B487" i="15"/>
  <c r="B488" i="15"/>
  <c r="B489" i="15"/>
  <c r="B490" i="15"/>
  <c r="B491" i="15"/>
  <c r="B492" i="15"/>
  <c r="B493" i="15"/>
  <c r="B494" i="15"/>
  <c r="B495" i="15"/>
  <c r="B496" i="15"/>
  <c r="B499" i="15"/>
  <c r="B500" i="15"/>
  <c r="B501" i="15"/>
  <c r="B502" i="15"/>
  <c r="B503" i="15"/>
  <c r="B504" i="15"/>
  <c r="B505" i="15"/>
  <c r="B506" i="15"/>
  <c r="B507" i="15"/>
  <c r="B508" i="15"/>
  <c r="B509" i="15"/>
  <c r="B510" i="15"/>
  <c r="B511" i="15"/>
  <c r="B512" i="15"/>
  <c r="B513" i="15"/>
  <c r="B514" i="15"/>
  <c r="B515" i="15"/>
  <c r="B516" i="15"/>
  <c r="B517" i="15"/>
  <c r="B518" i="15"/>
  <c r="B519" i="15"/>
  <c r="B520" i="15"/>
  <c r="B521" i="15"/>
  <c r="B522" i="15"/>
  <c r="B523" i="15"/>
  <c r="B524" i="15"/>
  <c r="B525" i="15"/>
  <c r="B526" i="15"/>
  <c r="B527" i="15"/>
  <c r="B528" i="15"/>
  <c r="B529" i="15"/>
  <c r="B530" i="15"/>
  <c r="B531" i="15"/>
  <c r="B532" i="15"/>
  <c r="B533" i="15"/>
  <c r="B534" i="15"/>
  <c r="B535" i="15"/>
  <c r="B536" i="15"/>
  <c r="B537" i="15"/>
  <c r="B538" i="15"/>
  <c r="B541" i="15"/>
  <c r="B542" i="15"/>
  <c r="B543" i="15"/>
  <c r="B544" i="15"/>
  <c r="B545" i="15"/>
  <c r="B546" i="15"/>
  <c r="B547" i="15"/>
  <c r="B548" i="15"/>
  <c r="B549" i="15"/>
  <c r="B550" i="15"/>
  <c r="B551" i="15"/>
  <c r="B552" i="15"/>
  <c r="B553" i="15"/>
  <c r="B554" i="15"/>
  <c r="B555" i="15"/>
  <c r="B556" i="15"/>
  <c r="B557" i="15"/>
  <c r="B558" i="15"/>
  <c r="B559" i="15"/>
  <c r="B560" i="15"/>
  <c r="B561" i="15"/>
  <c r="B562" i="15"/>
  <c r="B563" i="15"/>
  <c r="B564" i="15"/>
  <c r="B565" i="15"/>
  <c r="B566" i="15"/>
  <c r="B567" i="15"/>
  <c r="B568" i="15"/>
  <c r="B569" i="15"/>
  <c r="B570" i="15"/>
  <c r="B571" i="15"/>
  <c r="B572" i="15"/>
  <c r="B573" i="15"/>
  <c r="B574" i="15"/>
  <c r="B575" i="15"/>
  <c r="B576" i="15"/>
  <c r="B577" i="15"/>
  <c r="B578" i="15"/>
  <c r="B579" i="15"/>
  <c r="B580" i="15"/>
  <c r="B581" i="15"/>
  <c r="B117" i="15"/>
  <c r="B118" i="15"/>
  <c r="B119" i="15"/>
  <c r="B120" i="15"/>
  <c r="B121" i="15"/>
  <c r="B122" i="15"/>
  <c r="B123" i="15"/>
  <c r="B124" i="15"/>
  <c r="B125" i="15"/>
  <c r="B126" i="15"/>
  <c r="B127" i="15"/>
  <c r="B128" i="15"/>
  <c r="B129" i="15"/>
  <c r="B130" i="15"/>
  <c r="B131" i="15"/>
  <c r="B132" i="15"/>
  <c r="B133" i="15"/>
  <c r="B134" i="15"/>
  <c r="B135" i="15"/>
  <c r="B136" i="15"/>
  <c r="B137" i="15"/>
  <c r="B138" i="15"/>
  <c r="B139" i="15"/>
  <c r="B140" i="15"/>
  <c r="B141" i="15"/>
  <c r="B142" i="15"/>
  <c r="B143" i="15"/>
  <c r="B144" i="15"/>
  <c r="B145" i="15"/>
  <c r="B146" i="15"/>
  <c r="B147" i="15"/>
  <c r="B148" i="15"/>
  <c r="B149" i="15"/>
  <c r="B150" i="15"/>
  <c r="B151" i="15"/>
  <c r="B152" i="15"/>
  <c r="B153" i="15"/>
  <c r="B154" i="15"/>
  <c r="B155" i="15"/>
  <c r="B156" i="15"/>
  <c r="B159" i="15"/>
  <c r="B160" i="15"/>
  <c r="B161" i="15"/>
  <c r="B162" i="15"/>
  <c r="B163" i="15"/>
  <c r="B164" i="15"/>
  <c r="B165" i="15"/>
  <c r="B166" i="15"/>
  <c r="B167" i="15"/>
  <c r="B168" i="15"/>
  <c r="B169" i="15"/>
  <c r="B170" i="15"/>
  <c r="B171" i="15"/>
  <c r="B172" i="15"/>
  <c r="B173" i="15"/>
  <c r="B174" i="15"/>
  <c r="B175" i="15"/>
  <c r="B176" i="15"/>
  <c r="B177" i="15"/>
  <c r="B178" i="15"/>
  <c r="B179" i="15"/>
  <c r="B180" i="15"/>
  <c r="B181" i="15"/>
  <c r="B182" i="15"/>
  <c r="B183" i="15"/>
  <c r="B184" i="15"/>
  <c r="B185" i="15"/>
  <c r="B186" i="15"/>
  <c r="B187" i="15"/>
  <c r="B188" i="15"/>
  <c r="B189" i="15"/>
  <c r="B190" i="15"/>
  <c r="B191" i="15"/>
  <c r="B192" i="15"/>
  <c r="B193" i="15"/>
  <c r="B194" i="15"/>
  <c r="B195" i="15"/>
  <c r="B196" i="15"/>
  <c r="B197" i="15"/>
  <c r="B198" i="15"/>
  <c r="B201" i="15"/>
  <c r="B202" i="15"/>
  <c r="B203" i="15"/>
  <c r="B204" i="15"/>
  <c r="B205" i="15"/>
  <c r="B206" i="15"/>
  <c r="B207" i="15"/>
  <c r="B208" i="15"/>
  <c r="B209" i="15"/>
  <c r="B210" i="15"/>
  <c r="B211" i="15"/>
  <c r="B212" i="15"/>
  <c r="B213" i="15"/>
  <c r="B214" i="15"/>
  <c r="B215" i="15"/>
  <c r="B216" i="15"/>
  <c r="B217" i="15"/>
  <c r="B218" i="15"/>
  <c r="B219" i="15"/>
  <c r="B220" i="15"/>
  <c r="B221" i="15"/>
  <c r="B222" i="15"/>
  <c r="B223" i="15"/>
  <c r="B224" i="15"/>
  <c r="B225" i="15"/>
  <c r="B226" i="15"/>
  <c r="B227" i="15"/>
  <c r="B228" i="15"/>
  <c r="B229" i="15"/>
  <c r="B230" i="15"/>
  <c r="B231" i="15"/>
  <c r="B232" i="15"/>
  <c r="B233" i="15"/>
  <c r="B234" i="15"/>
  <c r="B235" i="15"/>
  <c r="B236" i="15"/>
  <c r="B237" i="15"/>
  <c r="B238" i="15"/>
  <c r="B239" i="15"/>
  <c r="B240" i="15"/>
  <c r="B243" i="15"/>
  <c r="B244" i="15"/>
  <c r="B245" i="15"/>
  <c r="B246" i="15"/>
  <c r="B247" i="15"/>
  <c r="B248" i="15"/>
  <c r="B249" i="15"/>
  <c r="B250" i="15"/>
  <c r="B251" i="15"/>
  <c r="B252" i="15"/>
  <c r="B253" i="15"/>
  <c r="B254" i="15"/>
  <c r="B255" i="15"/>
  <c r="B256" i="15"/>
  <c r="B257" i="15"/>
  <c r="B258" i="15"/>
  <c r="B259" i="15"/>
  <c r="B260" i="15"/>
  <c r="B261" i="15"/>
  <c r="B262" i="15"/>
  <c r="B263" i="15"/>
  <c r="B264" i="15"/>
  <c r="B265" i="15"/>
  <c r="B266" i="15"/>
  <c r="B267" i="15"/>
  <c r="B268" i="15"/>
  <c r="B269" i="15"/>
  <c r="B270" i="15"/>
  <c r="B271" i="15"/>
  <c r="B272" i="15"/>
  <c r="B273" i="15"/>
  <c r="B274" i="15"/>
  <c r="B275" i="15"/>
  <c r="B276" i="15"/>
  <c r="B277" i="15"/>
  <c r="B278" i="15"/>
  <c r="B279" i="15"/>
  <c r="B280" i="15"/>
  <c r="B281" i="15"/>
  <c r="B282" i="15"/>
  <c r="B285" i="15"/>
  <c r="B286" i="15"/>
  <c r="B287" i="15"/>
  <c r="B288" i="15"/>
  <c r="B289" i="15"/>
  <c r="B290" i="15"/>
  <c r="B291" i="15"/>
  <c r="B292" i="15"/>
  <c r="B293" i="15"/>
  <c r="B294" i="15"/>
  <c r="B295" i="15"/>
  <c r="B296" i="15"/>
  <c r="B297" i="15"/>
  <c r="B298" i="15"/>
  <c r="B299" i="15"/>
  <c r="B300" i="15"/>
  <c r="B301" i="15"/>
  <c r="B302" i="15"/>
  <c r="B303" i="15"/>
  <c r="B304" i="15"/>
  <c r="B305" i="15"/>
  <c r="B306" i="15"/>
  <c r="B307" i="15"/>
  <c r="B308" i="15"/>
  <c r="B309" i="15"/>
  <c r="B310" i="15"/>
  <c r="B311" i="15"/>
  <c r="B312" i="15"/>
  <c r="B313" i="15"/>
  <c r="B314" i="15"/>
  <c r="B315" i="15"/>
  <c r="B316" i="15"/>
  <c r="B317" i="15"/>
  <c r="B318" i="15"/>
  <c r="B319" i="15"/>
  <c r="B320" i="15"/>
  <c r="B321" i="15"/>
  <c r="B322" i="15"/>
  <c r="B323" i="15"/>
  <c r="B324" i="15"/>
  <c r="B33" i="15"/>
  <c r="B34" i="15"/>
  <c r="B35" i="15"/>
  <c r="B36" i="15"/>
  <c r="B37" i="15"/>
  <c r="B38" i="15"/>
  <c r="B39" i="15"/>
  <c r="B40" i="15"/>
  <c r="B41" i="15"/>
  <c r="B42" i="15"/>
  <c r="B43" i="15"/>
  <c r="B44" i="15"/>
  <c r="B45" i="15"/>
  <c r="B46" i="15"/>
  <c r="B47" i="15"/>
  <c r="B48" i="15"/>
  <c r="B49" i="15"/>
  <c r="B50" i="15"/>
  <c r="B51" i="15"/>
  <c r="B52" i="15"/>
  <c r="B53" i="15"/>
  <c r="B54" i="15"/>
  <c r="B55" i="15"/>
  <c r="B56" i="15"/>
  <c r="B57" i="15"/>
  <c r="B58" i="15"/>
  <c r="B59" i="15"/>
  <c r="B60" i="15"/>
  <c r="B61" i="15"/>
  <c r="B62" i="15"/>
  <c r="B63" i="15"/>
  <c r="B64" i="15"/>
  <c r="B65" i="15"/>
  <c r="B66" i="15"/>
  <c r="B67" i="15"/>
  <c r="B68" i="15"/>
  <c r="B69" i="15"/>
  <c r="B70" i="15"/>
  <c r="B71" i="15"/>
  <c r="B72" i="15"/>
  <c r="B75" i="15"/>
  <c r="B76" i="15"/>
  <c r="B77" i="15"/>
  <c r="B78" i="15"/>
  <c r="B79" i="15"/>
  <c r="B80" i="15"/>
  <c r="B81" i="15"/>
  <c r="B82" i="15"/>
  <c r="B83" i="15"/>
  <c r="B84" i="15"/>
  <c r="B85" i="15"/>
  <c r="B86" i="15"/>
  <c r="B87" i="15"/>
  <c r="B88" i="15"/>
  <c r="B89" i="15"/>
  <c r="B90" i="15"/>
  <c r="B91" i="15"/>
  <c r="B92" i="15"/>
  <c r="B93" i="15"/>
  <c r="B94" i="15"/>
  <c r="B95" i="15"/>
  <c r="B96" i="15"/>
  <c r="B97" i="15"/>
  <c r="B98" i="15"/>
  <c r="B99" i="15"/>
  <c r="B100" i="15"/>
  <c r="B101" i="15"/>
  <c r="B102" i="15"/>
  <c r="B103" i="15"/>
  <c r="B104" i="15"/>
  <c r="B105" i="15"/>
  <c r="B106" i="15"/>
  <c r="B107" i="15"/>
  <c r="B108" i="15"/>
  <c r="B109" i="15"/>
  <c r="B110" i="15"/>
  <c r="B111" i="15"/>
  <c r="B112" i="15"/>
  <c r="B113" i="15"/>
  <c r="B114" i="15"/>
  <c r="B8" i="15"/>
  <c r="B9" i="15"/>
  <c r="B10" i="15"/>
  <c r="B11" i="15"/>
  <c r="B12" i="15"/>
  <c r="B13" i="15"/>
  <c r="B14" i="15"/>
  <c r="B15" i="15"/>
  <c r="B16" i="15"/>
  <c r="B17" i="15"/>
  <c r="B18" i="15"/>
  <c r="B19" i="15"/>
  <c r="B20" i="15"/>
  <c r="B21" i="15"/>
  <c r="B22" i="15"/>
  <c r="B23" i="15"/>
  <c r="B24" i="15"/>
  <c r="B25" i="15"/>
  <c r="B28" i="15"/>
  <c r="F25" i="18" l="1"/>
  <c r="D26" i="18"/>
  <c r="D16" i="18"/>
  <c r="F17" i="18"/>
  <c r="F27" i="18"/>
  <c r="D19" i="18"/>
  <c r="D28" i="18"/>
  <c r="E20" i="18"/>
  <c r="E29" i="18"/>
  <c r="F21" i="18"/>
  <c r="F16" i="18"/>
  <c r="E17" i="18"/>
  <c r="F22" i="18"/>
  <c r="F91" i="16"/>
  <c r="F85" i="16"/>
  <c r="F83" i="16"/>
  <c r="F46" i="18"/>
  <c r="F40" i="18"/>
  <c r="F38" i="18"/>
  <c r="E28" i="18"/>
  <c r="E25" i="18"/>
  <c r="D23" i="18"/>
  <c r="D20" i="18"/>
  <c r="F18" i="18"/>
  <c r="E27" i="18"/>
  <c r="C25" i="18"/>
  <c r="C22" i="18"/>
  <c r="E91" i="16"/>
  <c r="E85" i="16"/>
  <c r="E83" i="16"/>
  <c r="E46" i="18"/>
  <c r="E40" i="18"/>
  <c r="E38" i="18"/>
  <c r="C28" i="18"/>
  <c r="D25" i="18"/>
  <c r="E22" i="18"/>
  <c r="C20" i="18"/>
  <c r="E18" i="18"/>
  <c r="D83" i="16"/>
  <c r="F24" i="18"/>
  <c r="D91" i="16"/>
  <c r="C91" i="16"/>
  <c r="C85" i="16"/>
  <c r="C83" i="16"/>
  <c r="C46" i="18"/>
  <c r="C40" i="18"/>
  <c r="C38" i="18"/>
  <c r="E19" i="18"/>
  <c r="F90" i="16"/>
  <c r="F84" i="16"/>
  <c r="F31" i="18"/>
  <c r="F45" i="18"/>
  <c r="F39" i="18"/>
  <c r="F29" i="18"/>
  <c r="C27" i="18"/>
  <c r="D24" i="18"/>
  <c r="E21" i="18"/>
  <c r="C19" i="18"/>
  <c r="D40" i="18"/>
  <c r="D18" i="18"/>
  <c r="E90" i="16"/>
  <c r="E92" i="16" s="1"/>
  <c r="E84" i="16"/>
  <c r="E31" i="18"/>
  <c r="E45" i="18"/>
  <c r="E39" i="18"/>
  <c r="D29" i="18"/>
  <c r="F26" i="18"/>
  <c r="C24" i="18"/>
  <c r="D21" i="18"/>
  <c r="D38" i="18"/>
  <c r="D22" i="18"/>
  <c r="D90" i="16"/>
  <c r="D92" i="16" s="1"/>
  <c r="D84" i="16"/>
  <c r="D31" i="18"/>
  <c r="D45" i="18"/>
  <c r="D39" i="18"/>
  <c r="C29" i="18"/>
  <c r="E26" i="18"/>
  <c r="F23" i="18"/>
  <c r="C21" i="18"/>
  <c r="D46" i="18"/>
  <c r="F19" i="18"/>
  <c r="C90" i="16"/>
  <c r="C84" i="16"/>
  <c r="C31" i="18"/>
  <c r="C45" i="18"/>
  <c r="C39" i="18"/>
  <c r="F28" i="18"/>
  <c r="C26" i="18"/>
  <c r="E23" i="18"/>
  <c r="F20" i="18"/>
  <c r="D85" i="16"/>
  <c r="D27" i="18"/>
  <c r="D17" i="18"/>
  <c r="E24" i="18"/>
  <c r="E16" i="18"/>
  <c r="C17" i="18"/>
  <c r="C16" i="18"/>
  <c r="C23" i="18"/>
  <c r="C18" i="18"/>
  <c r="E12" i="18"/>
  <c r="E11" i="18"/>
  <c r="D8" i="18"/>
  <c r="E10" i="18"/>
  <c r="E8" i="18"/>
  <c r="F12" i="18"/>
  <c r="E9" i="18"/>
  <c r="F11" i="18"/>
  <c r="F10" i="18"/>
  <c r="D12" i="18"/>
  <c r="D11" i="18"/>
  <c r="F9" i="18"/>
  <c r="F8" i="18"/>
  <c r="D10" i="18"/>
  <c r="D9" i="18"/>
  <c r="F11" i="16"/>
  <c r="E10" i="16"/>
  <c r="D10" i="16"/>
  <c r="D12" i="16"/>
  <c r="F10" i="16"/>
  <c r="E9" i="16"/>
  <c r="D9" i="16"/>
  <c r="F12" i="16"/>
  <c r="D11" i="16"/>
  <c r="F9" i="16"/>
  <c r="E8" i="16"/>
  <c r="D8" i="16"/>
  <c r="F8" i="16"/>
  <c r="E12" i="16"/>
  <c r="E11" i="16"/>
  <c r="F23" i="16"/>
  <c r="E22" i="16"/>
  <c r="D22" i="16"/>
  <c r="E19" i="16"/>
  <c r="F19" i="16"/>
  <c r="D23" i="16"/>
  <c r="F22" i="16"/>
  <c r="E21" i="16"/>
  <c r="D21" i="16"/>
  <c r="D19" i="16"/>
  <c r="E18" i="16"/>
  <c r="D18" i="16"/>
  <c r="F21" i="16"/>
  <c r="E20" i="16"/>
  <c r="D20" i="16"/>
  <c r="F20" i="16"/>
  <c r="F18" i="16"/>
  <c r="E17" i="16"/>
  <c r="D17" i="16"/>
  <c r="F17" i="16"/>
  <c r="E23" i="16"/>
  <c r="E33" i="16"/>
  <c r="D33" i="16"/>
  <c r="E29" i="16"/>
  <c r="D29" i="16"/>
  <c r="F33" i="16"/>
  <c r="E32" i="16"/>
  <c r="D32" i="16"/>
  <c r="E30" i="16"/>
  <c r="D30" i="16"/>
  <c r="F30" i="16"/>
  <c r="F32" i="16"/>
  <c r="E31" i="16"/>
  <c r="D31" i="16"/>
  <c r="F31" i="16"/>
  <c r="F29" i="16"/>
  <c r="E28" i="16"/>
  <c r="D28" i="16"/>
  <c r="F28" i="16"/>
  <c r="E27" i="16"/>
  <c r="D27" i="16"/>
  <c r="F27" i="16"/>
  <c r="F37" i="16"/>
  <c r="E41" i="16"/>
  <c r="D41" i="16"/>
  <c r="F38" i="16"/>
  <c r="E43" i="16"/>
  <c r="D43" i="16"/>
  <c r="F41" i="16"/>
  <c r="E40" i="16"/>
  <c r="D40" i="16"/>
  <c r="D38" i="16"/>
  <c r="E37" i="16"/>
  <c r="F43" i="16"/>
  <c r="E42" i="16"/>
  <c r="D42" i="16"/>
  <c r="F42" i="16"/>
  <c r="F40" i="16"/>
  <c r="E39" i="16"/>
  <c r="D39" i="16"/>
  <c r="F39" i="16"/>
  <c r="E38" i="16"/>
  <c r="D37" i="16"/>
  <c r="F48" i="16"/>
  <c r="E47" i="16"/>
  <c r="D47" i="16"/>
  <c r="D52" i="16"/>
  <c r="F52" i="16"/>
  <c r="E51" i="16"/>
  <c r="D51" i="16"/>
  <c r="D49" i="16"/>
  <c r="E48" i="16"/>
  <c r="F47" i="16"/>
  <c r="E53" i="16"/>
  <c r="D53" i="16"/>
  <c r="E52" i="16"/>
  <c r="F53" i="16"/>
  <c r="F51" i="16"/>
  <c r="E50" i="16"/>
  <c r="D50" i="16"/>
  <c r="F50" i="16"/>
  <c r="E49" i="16"/>
  <c r="D48" i="16"/>
  <c r="F49" i="16"/>
  <c r="F59" i="16"/>
  <c r="E58" i="16"/>
  <c r="D58" i="16"/>
  <c r="E62" i="16"/>
  <c r="F58" i="16"/>
  <c r="E57" i="16"/>
  <c r="D57" i="16"/>
  <c r="E63" i="16"/>
  <c r="D63" i="16"/>
  <c r="F63" i="16"/>
  <c r="D62" i="16"/>
  <c r="D59" i="16"/>
  <c r="F57" i="16"/>
  <c r="F62" i="16"/>
  <c r="E61" i="16"/>
  <c r="D61" i="16"/>
  <c r="F61" i="16"/>
  <c r="E60" i="16"/>
  <c r="D60" i="16"/>
  <c r="E59" i="16"/>
  <c r="F60" i="16"/>
  <c r="F70" i="16"/>
  <c r="E69" i="16"/>
  <c r="D69" i="16"/>
  <c r="D73" i="16"/>
  <c r="D70" i="16"/>
  <c r="F69" i="16"/>
  <c r="E68" i="16"/>
  <c r="D68" i="16"/>
  <c r="E73" i="16"/>
  <c r="D71" i="16"/>
  <c r="E70" i="16"/>
  <c r="F68" i="16"/>
  <c r="E67" i="16"/>
  <c r="D67" i="16"/>
  <c r="F67" i="16"/>
  <c r="F73" i="16"/>
  <c r="E72" i="16"/>
  <c r="D72" i="16"/>
  <c r="F72" i="16"/>
  <c r="E71" i="16"/>
  <c r="F71" i="16"/>
  <c r="A2" i="18"/>
  <c r="A2" i="16"/>
  <c r="C33" i="16"/>
  <c r="C8" i="16"/>
  <c r="C42" i="16"/>
  <c r="C17" i="16"/>
  <c r="C47" i="16"/>
  <c r="C8" i="18"/>
  <c r="C11" i="18"/>
  <c r="C19" i="16"/>
  <c r="C67" i="16"/>
  <c r="C12" i="18"/>
  <c r="C43" i="16"/>
  <c r="C48" i="16"/>
  <c r="C59" i="16"/>
  <c r="C27" i="16"/>
  <c r="E758" i="15"/>
  <c r="I758" i="15" s="1"/>
  <c r="C57" i="16"/>
  <c r="C73" i="16"/>
  <c r="C32" i="16"/>
  <c r="C41" i="16"/>
  <c r="C63" i="16"/>
  <c r="C72" i="16"/>
  <c r="C22" i="16"/>
  <c r="C31" i="16"/>
  <c r="C40" i="16"/>
  <c r="C53" i="16"/>
  <c r="C62" i="16"/>
  <c r="C71" i="16"/>
  <c r="C21" i="16"/>
  <c r="C30" i="16"/>
  <c r="C39" i="16"/>
  <c r="C52" i="16"/>
  <c r="C61" i="16"/>
  <c r="C70" i="16"/>
  <c r="C23" i="16"/>
  <c r="C20" i="16"/>
  <c r="C29" i="16"/>
  <c r="C38" i="16"/>
  <c r="C51" i="16"/>
  <c r="C60" i="16"/>
  <c r="C69" i="16"/>
  <c r="C12" i="16"/>
  <c r="C28" i="16"/>
  <c r="C37" i="16"/>
  <c r="C50" i="16"/>
  <c r="C68" i="16"/>
  <c r="C11" i="16"/>
  <c r="C18" i="16"/>
  <c r="C49" i="16"/>
  <c r="C58" i="16"/>
  <c r="F47" i="18" l="1"/>
  <c r="G21" i="18"/>
  <c r="G39" i="18"/>
  <c r="F92" i="16"/>
  <c r="E33" i="18"/>
  <c r="G26" i="18"/>
  <c r="E47" i="18"/>
  <c r="G18" i="18"/>
  <c r="G27" i="18"/>
  <c r="G23" i="18"/>
  <c r="G20" i="18"/>
  <c r="G17" i="18"/>
  <c r="F33" i="18"/>
  <c r="G22" i="18"/>
  <c r="D33" i="18"/>
  <c r="G19" i="18"/>
  <c r="G91" i="16"/>
  <c r="G25" i="18"/>
  <c r="G24" i="18"/>
  <c r="G28" i="18"/>
  <c r="G85" i="16"/>
  <c r="F41" i="18"/>
  <c r="E41" i="18"/>
  <c r="G16" i="18"/>
  <c r="G45" i="18"/>
  <c r="C47" i="18"/>
  <c r="F86" i="16"/>
  <c r="G31" i="18"/>
  <c r="D41" i="18"/>
  <c r="G38" i="18"/>
  <c r="C41" i="18"/>
  <c r="D86" i="16"/>
  <c r="G84" i="16"/>
  <c r="G40" i="18"/>
  <c r="E86" i="16"/>
  <c r="G29" i="18"/>
  <c r="G90" i="16"/>
  <c r="C92" i="16"/>
  <c r="G46" i="18"/>
  <c r="D47" i="18"/>
  <c r="G83" i="16"/>
  <c r="C86" i="16"/>
  <c r="G52" i="16"/>
  <c r="G30" i="16"/>
  <c r="G38" i="16"/>
  <c r="G28" i="16"/>
  <c r="G48" i="16"/>
  <c r="G43" i="16"/>
  <c r="G20" i="16"/>
  <c r="G27" i="16"/>
  <c r="E64" i="16"/>
  <c r="D54" i="16"/>
  <c r="G50" i="16"/>
  <c r="G29" i="16"/>
  <c r="G21" i="16"/>
  <c r="G23" i="16"/>
  <c r="F34" i="16"/>
  <c r="D24" i="16"/>
  <c r="C33" i="18"/>
  <c r="G12" i="16"/>
  <c r="G11" i="18"/>
  <c r="G8" i="18"/>
  <c r="G8" i="16"/>
  <c r="G18" i="16"/>
  <c r="G60" i="16"/>
  <c r="G31" i="16"/>
  <c r="G57" i="16"/>
  <c r="G67" i="16"/>
  <c r="D13" i="16"/>
  <c r="D79" i="16" s="1"/>
  <c r="G11" i="16"/>
  <c r="G22" i="16"/>
  <c r="G19" i="16"/>
  <c r="G33" i="16"/>
  <c r="G58" i="16"/>
  <c r="G42" i="16"/>
  <c r="G63" i="16"/>
  <c r="G37" i="16"/>
  <c r="G71" i="16"/>
  <c r="G41" i="16"/>
  <c r="G47" i="16"/>
  <c r="F74" i="16"/>
  <c r="F64" i="16"/>
  <c r="F54" i="16"/>
  <c r="E54" i="16"/>
  <c r="D34" i="16"/>
  <c r="E24" i="16"/>
  <c r="G62" i="16"/>
  <c r="G32" i="16"/>
  <c r="G17" i="16"/>
  <c r="D74" i="16"/>
  <c r="D44" i="16"/>
  <c r="G59" i="16"/>
  <c r="G70" i="16"/>
  <c r="G53" i="16"/>
  <c r="G12" i="18"/>
  <c r="E74" i="16"/>
  <c r="G49" i="16"/>
  <c r="G69" i="16"/>
  <c r="G61" i="16"/>
  <c r="G40" i="16"/>
  <c r="G73" i="16"/>
  <c r="F13" i="18"/>
  <c r="F34" i="18" s="1"/>
  <c r="E13" i="18"/>
  <c r="E34" i="18" s="1"/>
  <c r="F13" i="16"/>
  <c r="F79" i="16" s="1"/>
  <c r="G39" i="16"/>
  <c r="E34" i="16"/>
  <c r="F24" i="16"/>
  <c r="D13" i="18"/>
  <c r="D34" i="18" s="1"/>
  <c r="G51" i="16"/>
  <c r="G68" i="16"/>
  <c r="G72" i="16"/>
  <c r="D64" i="16"/>
  <c r="E44" i="16"/>
  <c r="F44" i="16"/>
  <c r="E13" i="16"/>
  <c r="E79" i="16" s="1"/>
  <c r="C24" i="16"/>
  <c r="C54" i="16"/>
  <c r="C74" i="16"/>
  <c r="C64" i="16"/>
  <c r="C34" i="16"/>
  <c r="C44" i="16"/>
  <c r="G92" i="16" l="1"/>
  <c r="E35" i="18"/>
  <c r="E43" i="18" s="1"/>
  <c r="E49" i="18" s="1"/>
  <c r="F35" i="18"/>
  <c r="F43" i="18" s="1"/>
  <c r="F49" i="18" s="1"/>
  <c r="D35" i="18"/>
  <c r="D43" i="18" s="1"/>
  <c r="D49" i="18" s="1"/>
  <c r="G33" i="18"/>
  <c r="G41" i="18"/>
  <c r="G86" i="16"/>
  <c r="G47" i="18"/>
  <c r="G64" i="16"/>
  <c r="G74" i="16"/>
  <c r="G24" i="16"/>
  <c r="C10" i="18"/>
  <c r="G10" i="18" s="1"/>
  <c r="F78" i="16"/>
  <c r="F80" i="16" s="1"/>
  <c r="F88" i="16" s="1"/>
  <c r="F94" i="16" s="1"/>
  <c r="D78" i="16"/>
  <c r="D80" i="16" s="1"/>
  <c r="D88" i="16" s="1"/>
  <c r="D94" i="16" s="1"/>
  <c r="G54" i="16"/>
  <c r="E78" i="16"/>
  <c r="E80" i="16" s="1"/>
  <c r="E88" i="16" s="1"/>
  <c r="E94" i="16" s="1"/>
  <c r="G44" i="16"/>
  <c r="G34" i="16"/>
  <c r="I14" i="15"/>
  <c r="C9" i="18"/>
  <c r="G9" i="18" s="1"/>
  <c r="C9" i="16"/>
  <c r="G9" i="16" s="1"/>
  <c r="C78" i="16"/>
  <c r="I8" i="15" l="1"/>
  <c r="C10" i="16"/>
  <c r="G10" i="16" s="1"/>
  <c r="E29" i="15"/>
  <c r="E759" i="15" s="1"/>
  <c r="E760" i="15" s="1"/>
  <c r="E768" i="15" s="1"/>
  <c r="E774" i="15" s="1"/>
  <c r="G78" i="16"/>
  <c r="C13" i="18"/>
  <c r="C13" i="16" l="1"/>
  <c r="C79" i="16" s="1"/>
  <c r="C34" i="18"/>
  <c r="G13" i="18"/>
  <c r="G13" i="16" l="1"/>
  <c r="C35" i="18"/>
  <c r="G34" i="18"/>
  <c r="C80" i="16"/>
  <c r="G79" i="16"/>
  <c r="C43" i="18" l="1"/>
  <c r="G35" i="18"/>
  <c r="C88" i="16"/>
  <c r="G80" i="16"/>
  <c r="C49" i="18" l="1"/>
  <c r="G49" i="18" s="1"/>
  <c r="G43" i="18"/>
  <c r="C94" i="16"/>
  <c r="G94" i="16" s="1"/>
  <c r="G88" i="16"/>
  <c r="I29" i="15" l="1"/>
  <c r="F29" i="15" s="1"/>
  <c r="F759" i="15" s="1"/>
  <c r="F760" i="15" l="1"/>
  <c r="I759" i="15"/>
  <c r="F768" i="15" l="1"/>
  <c r="F774" i="15" s="1"/>
  <c r="I760" i="15"/>
  <c r="I774" i="15" l="1"/>
  <c r="I768"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tc={B6B11D0D-7E36-411E-B0DA-42AD2154B4FD}</author>
    <author>tc={C8686745-E871-4CD9-AFE0-BAF7A357EFC4}</author>
    <author>tc={B9FA8548-2B93-4FEC-B852-31FC58421595}</author>
    <author>tc={5759891B-F9DC-4B51-A6F7-C53DF9DB8239}</author>
    <author>tc={935FA831-B789-4692-8B84-A3B5C48966FE}</author>
    <author>tc={0FAC7318-EB07-45AB-9950-D8D81FD1404F}</author>
  </authors>
  <commentList>
    <comment ref="F11" authorId="0" shapeId="0" xr:uid="{B6B11D0D-7E36-411E-B0DA-42AD2154B4FD}">
      <text>
        <t xml:space="preserve">[Threaded comment]
Your version of Excel allows you to read this threaded comment; however, any edits to it will get removed if the file is opened in a newer version of Excel. Learn more: https://go.microsoft.com/fwlink/?linkid=870924
Comment:
    National School Lunch Program
</t>
      </text>
    </comment>
    <comment ref="E406" authorId="1" shapeId="0" xr:uid="{C8686745-E871-4CD9-AFE0-BAF7A357EFC4}">
      <text>
        <t>[Threaded comment]
Your version of Excel allows you to read this threaded comment; however, any edits to it will get removed if the file is opened in a newer version of Excel. Learn more: https://go.microsoft.com/fwlink/?linkid=870924
Comment:
    School Board Admin Fee</t>
      </text>
    </comment>
    <comment ref="E408" authorId="2" shapeId="0" xr:uid="{B9FA8548-2B93-4FEC-B852-31FC58421595}">
      <text>
        <t>[Threaded comment]
Your version of Excel allows you to read this threaded comment; however, any edits to it will get removed if the file is opened in a newer version of Excel. Learn more: https://go.microsoft.com/fwlink/?linkid=870924
Comment:
    Management fee of 14%, similar to previous years.</t>
      </text>
    </comment>
    <comment ref="E412" authorId="3" shapeId="0" xr:uid="{5759891B-F9DC-4B51-A6F7-C53DF9DB8239}">
      <text>
        <t>[Threaded comment]
Your version of Excel allows you to read this threaded comment; however, any edits to it will get removed if the file is opened in a newer version of Excel. Learn more: https://go.microsoft.com/fwlink/?linkid=870924
Comment:
    Upgrade flooring, rooms and facilities</t>
      </text>
    </comment>
    <comment ref="F469" authorId="4" shapeId="0" xr:uid="{935FA831-B789-4692-8B84-A3B5C48966FE}">
      <text>
        <t xml:space="preserve">[Threaded comment]
Your version of Excel allows you to read this threaded comment; however, any edits to it will get removed if the file is opened in a newer version of Excel. Learn more: https://go.microsoft.com/fwlink/?linkid=870924
Comment:
    Part time food contractors
</t>
      </text>
    </comment>
    <comment ref="E603" authorId="5" shapeId="0" xr:uid="{0FAC7318-EB07-45AB-9950-D8D81FD1404F}">
      <text>
        <t xml:space="preserve">[Threaded comment]
Your version of Excel allows you to read this threaded comment; however, any edits to it will get removed if the file is opened in a newer version of Excel. Learn more: https://go.microsoft.com/fwlink/?linkid=870924
Comment:
    Custodial and Security services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Cecilia Zereceda</author>
  </authors>
  <commentList>
    <comment ref="N10" authorId="0" shapeId="0" xr:uid="{00000000-0006-0000-0400-000003000000}">
      <text>
        <r>
          <rPr>
            <b/>
            <sz val="9"/>
            <color indexed="81"/>
            <rFont val="Tahoma"/>
            <family val="2"/>
          </rPr>
          <t>Cecilia Zereceda:</t>
        </r>
        <r>
          <rPr>
            <sz val="9"/>
            <color indexed="81"/>
            <rFont val="Tahoma"/>
            <family val="2"/>
          </rPr>
          <t xml:space="preserve">
It was Mavericks High North Broward</t>
        </r>
      </text>
    </comment>
    <comment ref="O10" authorId="0" shapeId="0" xr:uid="{00000000-0006-0000-0400-000004000000}">
      <text>
        <r>
          <rPr>
            <b/>
            <sz val="9"/>
            <color indexed="81"/>
            <rFont val="Tahoma"/>
            <family val="2"/>
          </rPr>
          <t>Cecilia Zereceda:</t>
        </r>
        <r>
          <rPr>
            <sz val="9"/>
            <color indexed="81"/>
            <rFont val="Tahoma"/>
            <family val="2"/>
          </rPr>
          <t xml:space="preserve">
It wad Franklin Academy B</t>
        </r>
      </text>
    </comment>
  </commentList>
</comments>
</file>

<file path=xl/sharedStrings.xml><?xml version="1.0" encoding="utf-8"?>
<sst xmlns="http://schemas.openxmlformats.org/spreadsheetml/2006/main" count="1497" uniqueCount="474">
  <si>
    <t xml:space="preserve">School District: </t>
  </si>
  <si>
    <t>Program</t>
  </si>
  <si>
    <t>(b)</t>
  </si>
  <si>
    <t>(c)</t>
  </si>
  <si>
    <t>Totals</t>
  </si>
  <si>
    <t>x</t>
  </si>
  <si>
    <t>NOTES:</t>
  </si>
  <si>
    <t>Total</t>
  </si>
  <si>
    <t>Base Student Allocation</t>
  </si>
  <si>
    <t>=</t>
  </si>
  <si>
    <t>4-8</t>
  </si>
  <si>
    <t>9-12</t>
  </si>
  <si>
    <t>Total Class Size Reduction Funds</t>
  </si>
  <si>
    <t>PK - 3</t>
  </si>
  <si>
    <t>Number of FTE</t>
  </si>
  <si>
    <r>
      <t xml:space="preserve">Total </t>
    </r>
    <r>
      <rPr>
        <b/>
        <sz val="12"/>
        <color indexed="30"/>
        <rFont val="Times New Roman"/>
        <family val="1"/>
      </rPr>
      <t>*</t>
    </r>
  </si>
  <si>
    <t>101 Basic K-3</t>
  </si>
  <si>
    <t>111 Basic K-3 with ESE Services</t>
  </si>
  <si>
    <t>102 Basic 4-8</t>
  </si>
  <si>
    <t>112 Basic 4-8 with ESE Services</t>
  </si>
  <si>
    <t>103 Basic 9-12</t>
  </si>
  <si>
    <t>113 Basic 9-12 with ESE Services</t>
  </si>
  <si>
    <r>
      <t xml:space="preserve">254 ESE Level 4 </t>
    </r>
    <r>
      <rPr>
        <b/>
        <i/>
        <sz val="12"/>
        <rFont val="Times New Roman"/>
        <family val="1"/>
      </rPr>
      <t>(Grade Level PK-3</t>
    </r>
    <r>
      <rPr>
        <b/>
        <sz val="12"/>
        <rFont val="Times New Roman"/>
        <family val="1"/>
      </rPr>
      <t>)</t>
    </r>
  </si>
  <si>
    <r>
      <t xml:space="preserve">254 ESE Level 4 </t>
    </r>
    <r>
      <rPr>
        <b/>
        <i/>
        <sz val="12"/>
        <rFont val="Times New Roman"/>
        <family val="1"/>
      </rPr>
      <t>(Grade Level 4-8)</t>
    </r>
  </si>
  <si>
    <r>
      <t>254 ESE Level 4</t>
    </r>
    <r>
      <rPr>
        <b/>
        <i/>
        <sz val="12"/>
        <rFont val="Times New Roman"/>
        <family val="1"/>
      </rPr>
      <t xml:space="preserve"> (Grade Level 9-12)</t>
    </r>
  </si>
  <si>
    <r>
      <t xml:space="preserve">255 ESE Level 5 </t>
    </r>
    <r>
      <rPr>
        <b/>
        <i/>
        <sz val="12"/>
        <rFont val="Times New Roman"/>
        <family val="1"/>
      </rPr>
      <t>(Grade Level PK-3</t>
    </r>
    <r>
      <rPr>
        <b/>
        <sz val="12"/>
        <rFont val="Times New Roman"/>
        <family val="1"/>
      </rPr>
      <t>)</t>
    </r>
  </si>
  <si>
    <r>
      <t xml:space="preserve">255 ESE Level 5 </t>
    </r>
    <r>
      <rPr>
        <b/>
        <i/>
        <sz val="12"/>
        <rFont val="Times New Roman"/>
        <family val="1"/>
      </rPr>
      <t>(Grade Level 4-8)</t>
    </r>
  </si>
  <si>
    <r>
      <t>255 ESE Level 5</t>
    </r>
    <r>
      <rPr>
        <b/>
        <i/>
        <sz val="12"/>
        <rFont val="Times New Roman"/>
        <family val="1"/>
      </rPr>
      <t xml:space="preserve"> (Grade Level 9-12)</t>
    </r>
  </si>
  <si>
    <r>
      <t xml:space="preserve">130 ESOL </t>
    </r>
    <r>
      <rPr>
        <b/>
        <i/>
        <sz val="12"/>
        <rFont val="Times New Roman"/>
        <family val="1"/>
      </rPr>
      <t>(Grade Level PK-3)</t>
    </r>
  </si>
  <si>
    <r>
      <t xml:space="preserve">130 ESOL </t>
    </r>
    <r>
      <rPr>
        <b/>
        <i/>
        <sz val="12"/>
        <rFont val="Times New Roman"/>
        <family val="1"/>
      </rPr>
      <t>(Grade Level 4-8)</t>
    </r>
  </si>
  <si>
    <r>
      <t xml:space="preserve">130 ESOL </t>
    </r>
    <r>
      <rPr>
        <b/>
        <i/>
        <sz val="12"/>
        <rFont val="Times New Roman"/>
        <family val="1"/>
      </rPr>
      <t>(Grade Level 9-12)</t>
    </r>
  </si>
  <si>
    <r>
      <t xml:space="preserve">300 Career Education </t>
    </r>
    <r>
      <rPr>
        <b/>
        <i/>
        <sz val="12"/>
        <rFont val="Times New Roman"/>
        <family val="1"/>
      </rPr>
      <t>(Grades 9-12)</t>
    </r>
  </si>
  <si>
    <t>Base Funding</t>
  </si>
  <si>
    <t xml:space="preserve"> x</t>
  </si>
  <si>
    <t>Allocation factors</t>
  </si>
  <si>
    <t>(h)</t>
  </si>
  <si>
    <t>(f)</t>
  </si>
  <si>
    <t>(i)</t>
  </si>
  <si>
    <t>(j)</t>
  </si>
  <si>
    <t>Weighted FTE (not including Add-On)</t>
  </si>
  <si>
    <t>(1)</t>
  </si>
  <si>
    <t>(2)</t>
  </si>
  <si>
    <t>(3)</t>
  </si>
  <si>
    <t>(4)</t>
  </si>
  <si>
    <t>(5)</t>
  </si>
  <si>
    <t>Small District ESE Supplement</t>
  </si>
  <si>
    <t>Total Base Funding</t>
  </si>
  <si>
    <t>Total Additional FTE</t>
  </si>
  <si>
    <t xml:space="preserve">Total Funded Weighted FTE </t>
  </si>
  <si>
    <t>Advanced Placement</t>
  </si>
  <si>
    <t>International Baccalaureate</t>
  </si>
  <si>
    <t>Advanced International Certificate</t>
  </si>
  <si>
    <t>Industry Certified Career Education</t>
  </si>
  <si>
    <t>Early High School Graduation</t>
  </si>
  <si>
    <t>Additional FTE (a)</t>
  </si>
  <si>
    <t>Additional Base Funds</t>
  </si>
  <si>
    <t>Enter All Adjusted Fundable Riders</t>
  </si>
  <si>
    <t>Exempt Property Allocation</t>
  </si>
  <si>
    <t>Military and Indian Lands</t>
  </si>
  <si>
    <t>Civilians on Federal Lands</t>
  </si>
  <si>
    <t>Students with Disabilities</t>
  </si>
  <si>
    <t>(2) x (3)</t>
  </si>
  <si>
    <t>Weighted FTE</t>
  </si>
  <si>
    <t>(WFTE x BSA x DCD)</t>
  </si>
  <si>
    <t>Cost Factor</t>
  </si>
  <si>
    <t>Enter All Adjusted ESE Riders</t>
  </si>
  <si>
    <t>(*Total FTE should equal total in Section 1, column (4) and should not include any additional FTE from Section 1.)</t>
  </si>
  <si>
    <t>Number of Students</t>
  </si>
  <si>
    <t>Impact Aid Student Type</t>
  </si>
  <si>
    <t>If you have more than a 75% ESE student population, please place a 1 in the following box:</t>
  </si>
  <si>
    <t>.748 Mills (UFTE share)</t>
  </si>
  <si>
    <t>District's Total UFTE:</t>
  </si>
  <si>
    <t>÷</t>
  </si>
  <si>
    <t xml:space="preserve"> UFTE share.           Charter School UFTE: </t>
  </si>
  <si>
    <t>District's Total WFTE:</t>
  </si>
  <si>
    <t xml:space="preserve"> WFTE share.          Charter School WFTE: </t>
  </si>
  <si>
    <t>Letters in Parentheses Refer to Notes at Bottom of Worksheet:</t>
  </si>
  <si>
    <t>Board</t>
  </si>
  <si>
    <t>Revenue</t>
  </si>
  <si>
    <t>IDEA Funds</t>
  </si>
  <si>
    <t>Financing / Loan Proceeds</t>
  </si>
  <si>
    <t>Other</t>
  </si>
  <si>
    <t>Total Revenue</t>
  </si>
  <si>
    <t>Expenses</t>
  </si>
  <si>
    <t>Travel</t>
  </si>
  <si>
    <t>Food</t>
  </si>
  <si>
    <t>Reserve Fund</t>
  </si>
  <si>
    <t>Total Expenses</t>
  </si>
  <si>
    <t>Func</t>
  </si>
  <si>
    <t>Obj</t>
  </si>
  <si>
    <t>Title 1 Funding</t>
  </si>
  <si>
    <t>Expense Estimates</t>
  </si>
  <si>
    <t>Rentals</t>
  </si>
  <si>
    <t>Communications</t>
  </si>
  <si>
    <t>Supplies</t>
  </si>
  <si>
    <t>Textbooks</t>
  </si>
  <si>
    <t>Misc. Federal through State</t>
  </si>
  <si>
    <t>Class Size Reduction Funds</t>
  </si>
  <si>
    <t>Gifts, Grants and Bequests</t>
  </si>
  <si>
    <t>School-Aged Child Care Fees</t>
  </si>
  <si>
    <t>Transportation Services</t>
  </si>
  <si>
    <t>Other Miscellaneous Local Sources</t>
  </si>
  <si>
    <t>Administrator Salaries</t>
  </si>
  <si>
    <t>Classroom Teacher Salaries</t>
  </si>
  <si>
    <t>Other Certified Staff Member</t>
  </si>
  <si>
    <t>Substitute Teachers</t>
  </si>
  <si>
    <t>Paraprofessionals</t>
  </si>
  <si>
    <t>Other Support Personnel</t>
  </si>
  <si>
    <t>Retirement</t>
  </si>
  <si>
    <t>FICA</t>
  </si>
  <si>
    <t>Group Insurance</t>
  </si>
  <si>
    <t>Worker's Compensation</t>
  </si>
  <si>
    <t>Unemployment Compensation</t>
  </si>
  <si>
    <t>Other Employee Benefits</t>
  </si>
  <si>
    <t>Professional and Technical Services</t>
  </si>
  <si>
    <t>Insurance and Bond Premiums</t>
  </si>
  <si>
    <t>Repairs and Maintenance</t>
  </si>
  <si>
    <t>Public Utilities</t>
  </si>
  <si>
    <t>Other Purchased Services</t>
  </si>
  <si>
    <t>Electricity</t>
  </si>
  <si>
    <t>Periodicals</t>
  </si>
  <si>
    <t>Other Materials and Supplies</t>
  </si>
  <si>
    <t>Library Books</t>
  </si>
  <si>
    <t>AV Materials-Capitalized</t>
  </si>
  <si>
    <t>AV Materials (Non Capitalized)</t>
  </si>
  <si>
    <t>Building/Fixed Equipment</t>
  </si>
  <si>
    <t>Furniture, Fixtures-Capitalized</t>
  </si>
  <si>
    <t>Furniture, Fixtures (Non Capitalized)</t>
  </si>
  <si>
    <t>Computer Hardware-Capitalized</t>
  </si>
  <si>
    <t>Computer Hardware (Non Capitalized)</t>
  </si>
  <si>
    <t>Remodeling/Renovations</t>
  </si>
  <si>
    <t>Computer Software</t>
  </si>
  <si>
    <t>Interest Payment / Debt Service</t>
  </si>
  <si>
    <t>Dues and Fees</t>
  </si>
  <si>
    <t>Other Personnel Services</t>
  </si>
  <si>
    <t>Miscellaneous Expenses</t>
  </si>
  <si>
    <t>Gas / Fuel</t>
  </si>
  <si>
    <t>Revenue Estimates</t>
  </si>
  <si>
    <t>National School Lunch Act.</t>
  </si>
  <si>
    <t>Florida School Recognition Funds</t>
  </si>
  <si>
    <t>Charter School Capital Outlay Funding</t>
  </si>
  <si>
    <t>Food Service</t>
  </si>
  <si>
    <t>Florida Education Finance Program (FEFP)</t>
  </si>
  <si>
    <t>Other Miscellaneous State Revenues</t>
  </si>
  <si>
    <t>Function 5100 - Basic Instruction</t>
  </si>
  <si>
    <t>5100 Sub Total</t>
  </si>
  <si>
    <t>Function 5200 - Exceptional Education</t>
  </si>
  <si>
    <t>5200 Sub Total</t>
  </si>
  <si>
    <t>Function 6100 - Pupil Services</t>
  </si>
  <si>
    <t>6100 Sub Total</t>
  </si>
  <si>
    <t>Function 6200 - Instructional Media Services</t>
  </si>
  <si>
    <t>6200 Sub Total</t>
  </si>
  <si>
    <t>Function 6300 - Instructional/Curriculum Development</t>
  </si>
  <si>
    <t>6300 Sub Total</t>
  </si>
  <si>
    <t>Function 6400 - Instructional Staff Training</t>
  </si>
  <si>
    <t>6400 Sub Total</t>
  </si>
  <si>
    <t>Function 6500 - Instructional-Related Technology</t>
  </si>
  <si>
    <t>Function 7100 - Board</t>
  </si>
  <si>
    <t>Function 7300 - School Administration</t>
  </si>
  <si>
    <t>Function 7500 - Fiscal Services</t>
  </si>
  <si>
    <t>Function 7600 - Food Services</t>
  </si>
  <si>
    <t>Function 7800 - Pupil Transportation</t>
  </si>
  <si>
    <t>Function 7900 - Operation of Plant</t>
  </si>
  <si>
    <t>Function 9100 - Community Service</t>
  </si>
  <si>
    <t>6500 Sub Total</t>
  </si>
  <si>
    <t>7100 Sub Total</t>
  </si>
  <si>
    <t>7300 Sub Total</t>
  </si>
  <si>
    <t>7500 Sub Total</t>
  </si>
  <si>
    <t>7600 Sub Total</t>
  </si>
  <si>
    <t>7800 Sub Total</t>
  </si>
  <si>
    <t>7900 Sub Total</t>
  </si>
  <si>
    <t>9100 Sub Total</t>
  </si>
  <si>
    <t>Ending Fund Balance</t>
  </si>
  <si>
    <t>Excess of Revenues Over Expenses</t>
  </si>
  <si>
    <t>Function 8100 - Maintenance of Plant</t>
  </si>
  <si>
    <t>8100 Sub Total</t>
  </si>
  <si>
    <t>Function 8200 - Administrative Technology Services</t>
  </si>
  <si>
    <t>8200 Sub Total</t>
  </si>
  <si>
    <t>Function 9200 - Debt Service</t>
  </si>
  <si>
    <t>Redemption of Principal</t>
  </si>
  <si>
    <t>9200 Sub Total</t>
  </si>
  <si>
    <t>Function 7700 - Central Services</t>
  </si>
  <si>
    <t>7700 Sub Total</t>
  </si>
  <si>
    <t>Function 7400 - Facilities Acquisition</t>
  </si>
  <si>
    <t>Interest (Investment Income)</t>
  </si>
  <si>
    <t>Teacher Classroom Supplies Prog (Teach Lead)</t>
  </si>
  <si>
    <t>District Local Capital Improvement Tax</t>
  </si>
  <si>
    <t>E-Rate</t>
  </si>
  <si>
    <t>3480-3489 Operating Revenues</t>
  </si>
  <si>
    <t>Uniforms</t>
  </si>
  <si>
    <t>Year Book</t>
  </si>
  <si>
    <t>Prom</t>
  </si>
  <si>
    <t>Field Trips</t>
  </si>
  <si>
    <t>Fundraisers</t>
  </si>
  <si>
    <t>Description</t>
  </si>
  <si>
    <t>Projected UFTE:</t>
  </si>
  <si>
    <r>
      <t>Operating Revenues</t>
    </r>
    <r>
      <rPr>
        <sz val="10"/>
        <color indexed="10"/>
        <rFont val="Arial"/>
        <family val="2"/>
      </rPr>
      <t xml:space="preserve"> (fill out box on the right)</t>
    </r>
  </si>
  <si>
    <t>3700 - Financing / Loan Proceeds</t>
  </si>
  <si>
    <t>5000 Functions - Academic Programs</t>
  </si>
  <si>
    <t>100s - Salaries</t>
  </si>
  <si>
    <t>200s - Employee Costs</t>
  </si>
  <si>
    <t>300s - Services and Contracts</t>
  </si>
  <si>
    <t>400s - Power Services</t>
  </si>
  <si>
    <t>500s - Supplies and Materials</t>
  </si>
  <si>
    <t>600s - Capitalized Expenses</t>
  </si>
  <si>
    <t>700s - Other Miscellaneous Costs</t>
  </si>
  <si>
    <t>Total 5000's Academic Programs</t>
  </si>
  <si>
    <t>6000 Functions - Support and Student Services</t>
  </si>
  <si>
    <t>Total 6000's Support and Student Services</t>
  </si>
  <si>
    <t>Total 7000's Administrative Services</t>
  </si>
  <si>
    <t>7900 - Facilities Operations</t>
  </si>
  <si>
    <t>Total 7900 Facilities Operations</t>
  </si>
  <si>
    <t>9000 - Community Services</t>
  </si>
  <si>
    <t>Total 9000 Community Services</t>
  </si>
  <si>
    <t>8000 - Maint Plant &amp; Administrative Tech Services</t>
  </si>
  <si>
    <t>Total 8000 Maint Plant &amp; Adm Tech Services</t>
  </si>
  <si>
    <t>3200 - Federal Through State and Local</t>
  </si>
  <si>
    <t>3300 - Revenues from State Sources</t>
  </si>
  <si>
    <t>3400 - Revenues From Local Sources</t>
  </si>
  <si>
    <r>
      <t xml:space="preserve">7000 - Administrative Services </t>
    </r>
    <r>
      <rPr>
        <b/>
        <sz val="12"/>
        <color indexed="8"/>
        <rFont val="Calibri"/>
        <family val="2"/>
      </rPr>
      <t xml:space="preserve">(excluding 7900 Facilities) </t>
    </r>
  </si>
  <si>
    <t>7400 Sub Total</t>
  </si>
  <si>
    <t>3310 - FEFP Funding</t>
  </si>
  <si>
    <t>Revenues from State Sources</t>
  </si>
  <si>
    <t>FEFP Funding</t>
  </si>
  <si>
    <t>Revenues From Local Sources</t>
  </si>
  <si>
    <t>Academic Programs</t>
  </si>
  <si>
    <t>Support and Student Services</t>
  </si>
  <si>
    <t>Ascend Career Academy</t>
  </si>
  <si>
    <t>Loc</t>
  </si>
  <si>
    <t>School</t>
  </si>
  <si>
    <t>Avant Garde Academy K-8 Broward</t>
  </si>
  <si>
    <t>Broward Math &amp; Science Schools</t>
  </si>
  <si>
    <t>City of Pembroke Pines Elem</t>
  </si>
  <si>
    <t>Bridge Prep Academy of Hollywood Hills</t>
  </si>
  <si>
    <t>City of Pembroke Pines High</t>
  </si>
  <si>
    <t>Greentree Prep Charter School</t>
  </si>
  <si>
    <t>Innovation Charter School</t>
  </si>
  <si>
    <t>Academic Solutions Academy - A</t>
  </si>
  <si>
    <t>Eagles' Nest Middle Charter School</t>
  </si>
  <si>
    <t>Paragon Academy of Technology</t>
  </si>
  <si>
    <t>Avant Garde Academy</t>
  </si>
  <si>
    <t>Panacea Prep Charter School</t>
  </si>
  <si>
    <t>New Life Charter Academy</t>
  </si>
  <si>
    <t>Charter School's Name</t>
  </si>
  <si>
    <t>Insert your charter school's MSID in cell C2, enter.</t>
  </si>
  <si>
    <t>General Funds</t>
  </si>
  <si>
    <t>Special Revenue</t>
  </si>
  <si>
    <t>Debt Service</t>
  </si>
  <si>
    <t>Capital Outlay</t>
  </si>
  <si>
    <t>Total Gov Funds</t>
  </si>
  <si>
    <t>Other Financing Sources (Uses)</t>
  </si>
  <si>
    <t>Transfers In</t>
  </si>
  <si>
    <t>Transfers Out</t>
  </si>
  <si>
    <t>Total Other Financing Sources (Uses)</t>
  </si>
  <si>
    <t>Net Change in Fund Balance</t>
  </si>
  <si>
    <t>Adjustments to Beginning Fund Balance</t>
  </si>
  <si>
    <r>
      <t>Transfers In</t>
    </r>
    <r>
      <rPr>
        <sz val="8.5"/>
        <rFont val="Arial"/>
        <family val="2"/>
      </rPr>
      <t xml:space="preserve"> (Long-Term Debt &amp; Sale of Capital Assets)</t>
    </r>
  </si>
  <si>
    <t>Projected UFTE</t>
  </si>
  <si>
    <r>
      <t>Restated Beginning Fund Balance</t>
    </r>
    <r>
      <rPr>
        <b/>
        <sz val="11"/>
        <color theme="1"/>
        <rFont val="Calibri"/>
        <family val="2"/>
        <scheme val="minor"/>
      </rPr>
      <t xml:space="preserve"> </t>
    </r>
    <r>
      <rPr>
        <b/>
        <sz val="9"/>
        <color theme="1"/>
        <rFont val="Calibri"/>
        <family val="2"/>
        <scheme val="minor"/>
      </rPr>
      <t>(per audit report)</t>
    </r>
  </si>
  <si>
    <t>Adjust. to Beginning Fund Balance</t>
  </si>
  <si>
    <r>
      <t>Restated Beginning Fund Balance</t>
    </r>
    <r>
      <rPr>
        <b/>
        <sz val="9"/>
        <color rgb="FF0000FF"/>
        <rFont val="Calibri"/>
        <family val="2"/>
        <scheme val="minor"/>
      </rPr>
      <t xml:space="preserve"> (per audit report)</t>
    </r>
  </si>
  <si>
    <t>Grade Levels:</t>
  </si>
  <si>
    <t>K-8</t>
  </si>
  <si>
    <t>6-8</t>
  </si>
  <si>
    <t>K-5</t>
  </si>
  <si>
    <t>K-3</t>
  </si>
  <si>
    <t>K-12</t>
  </si>
  <si>
    <t>6-12</t>
  </si>
  <si>
    <t>K-6</t>
  </si>
  <si>
    <t>6-9</t>
  </si>
  <si>
    <t>Charter School:</t>
  </si>
  <si>
    <t>Championship Academy of Distinction at Hollywood</t>
  </si>
  <si>
    <t>Location:</t>
  </si>
  <si>
    <t>FEFP</t>
  </si>
  <si>
    <t>K-3 Basic</t>
  </si>
  <si>
    <t>4-8 Basic</t>
  </si>
  <si>
    <t>9-12 Basic</t>
  </si>
  <si>
    <t>K-3 Basic with ESE services</t>
  </si>
  <si>
    <t>4-8 Basic with ESE services</t>
  </si>
  <si>
    <t>9-12 Basic with ESE services</t>
  </si>
  <si>
    <t>ESOL:  K-3</t>
  </si>
  <si>
    <t>ESOL:  4-8</t>
  </si>
  <si>
    <t>ESOL:  9-12</t>
  </si>
  <si>
    <t>ESE-Support Level 4:  K-3</t>
  </si>
  <si>
    <t>ESE-Support Level 4:  4-8</t>
  </si>
  <si>
    <t>ESE-Support Level 4:  9-12</t>
  </si>
  <si>
    <t>ESE-Support Level 5:  K-3</t>
  </si>
  <si>
    <t>ESE-Support Level 5:  4-8</t>
  </si>
  <si>
    <t>ESE-Support Level 5:  9-12</t>
  </si>
  <si>
    <t>Vocational (Gr. 9-12)</t>
  </si>
  <si>
    <t xml:space="preserve">180-Day Unweighted FTE </t>
  </si>
  <si>
    <t>1.</t>
  </si>
  <si>
    <r>
      <t xml:space="preserve">Number of FTE
</t>
    </r>
    <r>
      <rPr>
        <i/>
        <sz val="9"/>
        <color indexed="10"/>
        <rFont val="Times New Roman"/>
        <family val="1"/>
      </rPr>
      <t>Charter schools should contact their school district sponsor regarding eligible FTE. Please note that “Number of FTE” is NOT equivalent to number of students enrolled in these courses or programs. Please refer to footnote (a) below.</t>
    </r>
  </si>
  <si>
    <t xml:space="preserve"> Revenue Estimate Worksheet for</t>
  </si>
  <si>
    <t>Charter School</t>
  </si>
  <si>
    <t>ABC Charter School</t>
  </si>
  <si>
    <t>TI</t>
  </si>
  <si>
    <t>TI-LT</t>
  </si>
  <si>
    <t>TO</t>
  </si>
  <si>
    <t>BFB</t>
  </si>
  <si>
    <t>RF</t>
  </si>
  <si>
    <t>ABFB</t>
  </si>
  <si>
    <t>School Administration</t>
  </si>
  <si>
    <t>Facilities and Acquisition</t>
  </si>
  <si>
    <t>Fiscal Services</t>
  </si>
  <si>
    <t>Food Services</t>
  </si>
  <si>
    <t>Central Services</t>
  </si>
  <si>
    <t>Pupil Transportation Services</t>
  </si>
  <si>
    <t>Operation of Plant</t>
  </si>
  <si>
    <t>Maintenance of Plant</t>
  </si>
  <si>
    <t>Administrative Technology Services</t>
  </si>
  <si>
    <t>Community Services</t>
  </si>
  <si>
    <t>Federal Through State and Local</t>
  </si>
  <si>
    <t>Sunshine Elementary</t>
  </si>
  <si>
    <t>Somerset Academy Key Middle School</t>
  </si>
  <si>
    <t>Championship Academy of Distinction at Davie</t>
  </si>
  <si>
    <t xml:space="preserve">Ben Gamla Charter School North Campus  </t>
  </si>
  <si>
    <t xml:space="preserve">Somerset Academy Village Charter Middle School              </t>
  </si>
  <si>
    <t>Somerset Preparatory Academy Charter School at North Lauderdale</t>
  </si>
  <si>
    <t xml:space="preserve">Somerset Village Academy      </t>
  </si>
  <si>
    <t>Somerset Preparatory Academy Charter High School at North Lauderdale</t>
  </si>
  <si>
    <t xml:space="preserve">Somerset Academy Charter High School Miramar Campus  </t>
  </si>
  <si>
    <t xml:space="preserve">Andrews High School
</t>
  </si>
  <si>
    <t xml:space="preserve">Franklin Academy Sunrise
</t>
  </si>
  <si>
    <t xml:space="preserve">Franklin Academy Pembroke Pines
</t>
  </si>
  <si>
    <t xml:space="preserve">Renaissance Charter Middle School at Pines </t>
  </si>
  <si>
    <t xml:space="preserve">Renaissance Charter School at Coral Springs    </t>
  </si>
  <si>
    <t xml:space="preserve">Somerset Academy Neighborhood        </t>
  </si>
  <si>
    <t xml:space="preserve">Renaissance Charter School at Plantation           </t>
  </si>
  <si>
    <t xml:space="preserve">Imagine School at Broward                                </t>
  </si>
  <si>
    <t xml:space="preserve">Academic Solutions High School                               
                          </t>
  </si>
  <si>
    <t xml:space="preserve">Atlantic Montessori Charter School                               </t>
  </si>
  <si>
    <t xml:space="preserve">Somerset Pines Academy    </t>
  </si>
  <si>
    <t>Charter School of Excellence Fort Lauderdale 1</t>
  </si>
  <si>
    <t xml:space="preserve">
Franklin Academy Cooper City 
</t>
  </si>
  <si>
    <t xml:space="preserve">Central Charter School                    </t>
  </si>
  <si>
    <t xml:space="preserve">Imagine Schools - Plantation Campus                  </t>
  </si>
  <si>
    <t xml:space="preserve">
Franklin Academy F   
</t>
  </si>
  <si>
    <t xml:space="preserve">Renaissance Charter School at University            </t>
  </si>
  <si>
    <t xml:space="preserve">Renaissance Charter School at Cooper City         </t>
  </si>
  <si>
    <t xml:space="preserve">West Broward Academy
   </t>
  </si>
  <si>
    <t xml:space="preserve">SunEd High School of South Broward
</t>
  </si>
  <si>
    <t xml:space="preserve">Somerset Academy Miramar South  </t>
  </si>
  <si>
    <t xml:space="preserve">SunFire High School 
 </t>
  </si>
  <si>
    <t xml:space="preserve">City of Pembroke Pines Middle </t>
  </si>
  <si>
    <t xml:space="preserve">Coral Springs Charter School    </t>
  </si>
  <si>
    <t xml:space="preserve">Imagine Charter School at Weston                      </t>
  </si>
  <si>
    <t xml:space="preserve">Somerset Academy               </t>
  </si>
  <si>
    <t xml:space="preserve">Franklin Academy Pembroke Pines High School
</t>
  </si>
  <si>
    <t xml:space="preserve">Somerset Academy Middle                 </t>
  </si>
  <si>
    <t xml:space="preserve">North Broward Academy of Excellence Elementary     </t>
  </si>
  <si>
    <t>Atlantic Montessori Charter School - West Campus</t>
  </si>
  <si>
    <t>Imagine Charter School at North Lauderdale Elementary</t>
  </si>
  <si>
    <t>The Ben Gamla Preparatory Academy</t>
  </si>
  <si>
    <t xml:space="preserve">Somerset Academy Davie Charter School    </t>
  </si>
  <si>
    <t>Championship Academy of Distinction Middle School</t>
  </si>
  <si>
    <t>Championship Academy of Distinction High School</t>
  </si>
  <si>
    <t xml:space="preserve">Somerset Academy Charter High School        </t>
  </si>
  <si>
    <t>Somerset Academy Key Charter High School</t>
  </si>
  <si>
    <t>Championship Academy of Distinction of West Broward</t>
  </si>
  <si>
    <t>Somerset Academy Elementary South Campus</t>
  </si>
  <si>
    <t xml:space="preserve">Charter School of Excellence at Davie                             </t>
  </si>
  <si>
    <t xml:space="preserve">Summit Academy Charter School
</t>
  </si>
  <si>
    <t xml:space="preserve">Hollywood Academy of Arts and Science Elementary   </t>
  </si>
  <si>
    <t xml:space="preserve">Eagles' Nest Charter Academy 
</t>
  </si>
  <si>
    <t xml:space="preserve">Championship Academy of Distinction at Hollywood
</t>
  </si>
  <si>
    <t xml:space="preserve">Hollywood Academy of Arts and Science Middle     </t>
  </si>
  <si>
    <t xml:space="preserve">North Broward Academy of Excellence Middle        </t>
  </si>
  <si>
    <t xml:space="preserve">Somerset Academy Riverside
</t>
  </si>
  <si>
    <t xml:space="preserve">Somerset Academy Pompano                          </t>
  </si>
  <si>
    <t xml:space="preserve">Somerset Academy East Preparatory               </t>
  </si>
  <si>
    <t xml:space="preserve">Ben Gamla Charter School South Broward  </t>
  </si>
  <si>
    <t xml:space="preserve">Somerset Arts Conservatory     </t>
  </si>
  <si>
    <t xml:space="preserve">Somerset Academy Charter School Miramar      </t>
  </si>
  <si>
    <t xml:space="preserve">Somerset Academy Miramar Middle                   </t>
  </si>
  <si>
    <t xml:space="preserve">Everest Charter School                          </t>
  </si>
  <si>
    <t xml:space="preserve">Ben Gamla Charter School               </t>
  </si>
  <si>
    <t xml:space="preserve">Somerset Academy Key Middle School
</t>
  </si>
  <si>
    <t>International School of Broward</t>
  </si>
  <si>
    <t xml:space="preserve">Somerset Academy Riverside Charter Middle School
</t>
  </si>
  <si>
    <t>RISE Academy School of Science and Technology</t>
  </si>
  <si>
    <t xml:space="preserve">Championship Academy of Distinction at Davie
</t>
  </si>
  <si>
    <t xml:space="preserve">Somerset Preparatory Charter Middle School                  </t>
  </si>
  <si>
    <t xml:space="preserve">Sunrise High
                           </t>
  </si>
  <si>
    <t xml:space="preserve">Renaissance Charter Schools at Pines </t>
  </si>
  <si>
    <t xml:space="preserve">
South Broward Montessori Charter School                    
</t>
  </si>
  <si>
    <t>SunEd High School of North Broward</t>
  </si>
  <si>
    <r>
      <rPr>
        <b/>
        <sz val="12"/>
        <rFont val="Times New Roman"/>
        <family val="1"/>
      </rPr>
      <t xml:space="preserve">X     </t>
    </r>
    <r>
      <rPr>
        <b/>
        <u/>
        <sz val="12"/>
        <rFont val="Times New Roman"/>
        <family val="1"/>
      </rPr>
      <t>DCD</t>
    </r>
    <r>
      <rPr>
        <b/>
        <sz val="12"/>
        <rFont val="Times New Roman"/>
        <family val="1"/>
      </rPr>
      <t xml:space="preserve">     X</t>
    </r>
  </si>
  <si>
    <t>POFR</t>
  </si>
  <si>
    <t xml:space="preserve">Academic Solutions High School                      </t>
  </si>
  <si>
    <t xml:space="preserve">Franklin Academy Cooper City </t>
  </si>
  <si>
    <t>Somerset Parkland Academy</t>
  </si>
  <si>
    <t>Franklin Academy Pembroke Pines High School</t>
  </si>
  <si>
    <t>Somerset Academy Riverside</t>
  </si>
  <si>
    <t>Somerset Academy Riverside Charter Middle School</t>
  </si>
  <si>
    <t>BridgePrep Academy of Broward K-8</t>
  </si>
  <si>
    <t>International Studies Academy MS</t>
  </si>
  <si>
    <t>International Studies Academy HS</t>
  </si>
  <si>
    <t>Dual Enrollment</t>
  </si>
  <si>
    <t xml:space="preserve">(a) Additional FTE includes FTE earned through Advanced Placement, International Baccalaureate, Advanced International Certificate of Education, Industry Certified Career Education (CAPE), Early High School Graduation, the small district ESE Supplement and Dual Enrollment pursuant to s. 1011.62(1)(i-p), F.S. </t>
  </si>
  <si>
    <t>Administrative fees:</t>
  </si>
  <si>
    <t xml:space="preserve">Administrative fees charged by the school district pursuant to s. 1002.33(20)(a), F.S., shall be calculated based upon 5%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5%. For charter schools within a charter school system that meets the requirements in s. 1002.33(20)(a)2.a.(II), F.S., do the same calculation based for up to and including 500 students. </t>
  </si>
  <si>
    <t xml:space="preserve">For high performing charter schools, administrative fees charged by the school district shall be calculated based upon 2% of available funds from the FEFP and  categorical funding for which charter students may be eligible. To calculate the administrative fee to be withheld for schools with more than 250 students, divide the school population into 250. Multiply that fraction times the funds available, then times 2%.  </t>
  </si>
  <si>
    <t>Other:</t>
  </si>
  <si>
    <t>FEFP and categorical funding are recalculated during the year to reflect the revised number of full-time equivalent students reported during the survey periods designated by the Commissioner of Education.</t>
  </si>
  <si>
    <t>Revenues flow to districts from state sources and from county tax collectors on various distribution schedules.</t>
  </si>
  <si>
    <t>2023-24 Budget Summary By Function</t>
  </si>
  <si>
    <r>
      <t xml:space="preserve">Beginning Fund Balance </t>
    </r>
    <r>
      <rPr>
        <b/>
        <sz val="9"/>
        <color rgb="FF0000FF"/>
        <rFont val="Calibri"/>
        <family val="2"/>
        <scheme val="minor"/>
      </rPr>
      <t>(as of 6/30/2023)</t>
    </r>
  </si>
  <si>
    <t>2023-24 Budget Summary</t>
  </si>
  <si>
    <t xml:space="preserve">2023-24 Annual Budget </t>
  </si>
  <si>
    <r>
      <t>Beginning Fund Balance</t>
    </r>
    <r>
      <rPr>
        <b/>
        <sz val="11"/>
        <color theme="1"/>
        <rFont val="Calibri"/>
        <family val="2"/>
        <scheme val="minor"/>
      </rPr>
      <t xml:space="preserve"> </t>
    </r>
    <r>
      <rPr>
        <b/>
        <sz val="10"/>
        <color theme="1"/>
        <rFont val="Calibri"/>
        <family val="2"/>
        <scheme val="minor"/>
      </rPr>
      <t>(as of June 30, 2023)</t>
    </r>
  </si>
  <si>
    <t xml:space="preserve">2023-24 CHARTER SCHOOLS IN BROWARD COUNTY BY SCHOOL LOCATION # </t>
  </si>
  <si>
    <t>2023-24 CHARTER SCHOOL PROJECTED REVENUE</t>
  </si>
  <si>
    <t>Total 2023-24 POFR FTE</t>
  </si>
  <si>
    <t>UFTE from your school's Projected 180 Day Membership for Fiscal Year 2023-24</t>
  </si>
  <si>
    <t>Based on the 2023-24 FEFP Conference Calculation</t>
  </si>
  <si>
    <t>1A.   2023-24 FEFP State and Local Funding</t>
  </si>
  <si>
    <t>Comparable Wage Factor:</t>
  </si>
  <si>
    <t>Small District Factor</t>
  </si>
  <si>
    <t>2023-24</t>
  </si>
  <si>
    <t>2023-24                             Base Funding                          (WFTE x BSA x DCD)</t>
  </si>
  <si>
    <t>Maintenance Portion (4.52% of Base Funding)</t>
  </si>
  <si>
    <t>Growth Portion (1.41% of Base Funding)</t>
  </si>
  <si>
    <t xml:space="preserve">         Total Salary Increase Allocation</t>
  </si>
  <si>
    <t>(g) (k)</t>
  </si>
  <si>
    <t>X</t>
  </si>
  <si>
    <r>
      <t xml:space="preserve">1B. Classroom Teacher and Other Instructional Personnel Salary Increase 
</t>
    </r>
    <r>
      <rPr>
        <b/>
        <sz val="9"/>
        <color rgb="FFFF0000"/>
        <rFont val="Times New Roman"/>
        <family val="1"/>
      </rPr>
      <t>Maintenance and Growth Portions of the Salary Increase funds are part of the total Base Funding and are not treated as a separate allocation. Amounts are split out here for informative purposes and for the purposes of providing a total that may be used for calculating the adminstrative fee.</t>
    </r>
  </si>
  <si>
    <t xml:space="preserve"> UFTE share.          Charter School UFTE: </t>
  </si>
  <si>
    <t>District's Total Non-Scholarship UFTE:</t>
  </si>
  <si>
    <t>District's Total Non-Virtual UFTE:</t>
  </si>
  <si>
    <t>District's Total Non-Virtual and Non-Scholarship UFTE:</t>
  </si>
  <si>
    <t>(e)</t>
  </si>
  <si>
    <t>8.  Discretionary Local Effort (WFTE share)</t>
  </si>
  <si>
    <t>9.  Proration to Funds Available (WFTE share)</t>
  </si>
  <si>
    <t>10.  Class Size Reduction Funds:</t>
  </si>
  <si>
    <t>11.  Student Transportation</t>
  </si>
  <si>
    <t>12.  Federally Connected Student Supplement</t>
  </si>
  <si>
    <t>Impact Aid Student Allocation</t>
  </si>
  <si>
    <t>13.  Food Service Allocation</t>
  </si>
  <si>
    <t>14.  Total Less Salary Increase Allocation (for administrative fee calculation)</t>
  </si>
  <si>
    <t>(k)</t>
  </si>
  <si>
    <t>15.  Funding for the purpose of calculating the administrative fee for ESE charter schools.</t>
  </si>
  <si>
    <t>(l)</t>
  </si>
  <si>
    <t xml:space="preserve"> </t>
  </si>
  <si>
    <t>(b) District allocations multiplied by percentage from item 2A.</t>
  </si>
  <si>
    <t>(c) District allocations multiplied by percentage from item 2B.</t>
  </si>
  <si>
    <t>(d) District allocations multiplied by percentage from item 2C.</t>
  </si>
  <si>
    <t>(e) District allocations multiplied by percentage from item 2D.</t>
  </si>
  <si>
    <t>(f) District allocations multiplied by percentage from item 2E.</t>
  </si>
  <si>
    <t xml:space="preserve">(g) This allocation will be frozen as of the 2023-24 FEFP Conference Calculation and will not be recalculated throughout the year. Charter school allocations are recommended not to be recalculated with fluctuations in student enrollment later in the year. </t>
  </si>
  <si>
    <t>(h)  Numbers entered here will be multiplied by the district level transportation funding per rider. "All Adjusted Fundable Riders" should include both basic and ESE Riders. "All Adjusted ESE Riders" should include only ESE Riders.</t>
  </si>
  <si>
    <t xml:space="preserve">(i) The Federally Connected Student Supplement provides additional funding for students on federal lands that receive Section 8003 impact aide pursuant to s. 1011.62(13), F.S. </t>
  </si>
  <si>
    <t xml:space="preserve">(j) Funding based on student eligibility and meals provided, if participating in the National School Lunch Program. </t>
  </si>
  <si>
    <t xml:space="preserve">(k) Consistent with s. 1002.33(20)(a)3, F.S., a school's sponsor may not charge or withhold any administrative fee against a charter school for any funds specfically allocated by the Legislature for teacher compensation. </t>
  </si>
  <si>
    <t xml:space="preserve">(l) Consistent with s. 1002.33(20)(a), F.S., for charter schools with a population of 75% or more ESE students, the administrative fee shall be calculated based on unweighted full-time equivalent students. </t>
  </si>
  <si>
    <t>Broward</t>
  </si>
  <si>
    <t>2.   ESE Guaranteed Allocation:</t>
  </si>
  <si>
    <t>FTE</t>
  </si>
  <si>
    <t>Grade Level</t>
  </si>
  <si>
    <t>Matrix Level</t>
  </si>
  <si>
    <t>Guarantee Per Student</t>
  </si>
  <si>
    <t>Additional Funding from the ESE Guaranteed Allocation. Enter the FTE from 111,112 and 113 by grade and matrix level.  Students who do not have a matrix level should be considered 251.  This total should equal all FTE from programs 111, 112 and 113 above.</t>
  </si>
  <si>
    <t>PK-3</t>
  </si>
  <si>
    <t>Total FTE with ESE Services</t>
  </si>
  <si>
    <t>Total ESE Guarantee</t>
  </si>
  <si>
    <t>3A. Divide school's Unweighted FTE (UFTE) total computed in Section 1, cell C28 above by the district's total UFTE to obtain school's</t>
  </si>
  <si>
    <t>3B. Divide school's Weighted FTE (WFTE) total computed in Section 1, cell E39 above by the district's total WFTE to obtain school's</t>
  </si>
  <si>
    <t>3C. Divide school's Unweighted FTE (UFTE) total computed in Section 1, cell C28 above by the district's total non-scholarship UFTE to obtain school's</t>
  </si>
  <si>
    <t>3D. Divide school's Unweighted FTE (UFTE) total computed in Section 1, cell C28 above by the district's total non-virtual UFTE to obtain school's</t>
  </si>
  <si>
    <t>3E. Divide school's Unweighted FTE (UFTE) total computed in Section 1, cell C28 above by the district's total non-scholarship and non-virtual UFTE to obtain school's</t>
  </si>
  <si>
    <t>4.   Educational Enrichment Share (Non-Virtual UFTE share)</t>
  </si>
  <si>
    <t>5.   Discretionary Millage Compression Allocation</t>
  </si>
  <si>
    <t>6.   Safe Schools Allocation (UFTE share)</t>
  </si>
  <si>
    <t>7.  Mental Health Assistance Allocation (Non-Scholarship UFTE share)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</si>
</sst>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7" formatCode="&quot;$&quot;#,##0.00_);\(&quot;$&quot;#,##0.0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0%"/>
    <numFmt numFmtId="167" formatCode="0.000"/>
    <numFmt numFmtId="168" formatCode="0.0000"/>
    <numFmt numFmtId="169" formatCode="_-&quot;$&quot;* #,##0_-;\-&quot;$&quot;* #,##0_-;_-&quot;$&quot;* &quot;-&quot;??_-;_-@_-"/>
    <numFmt numFmtId="170" formatCode="0."/>
    <numFmt numFmtId="171" formatCode="_(&quot;$&quot;* #,##0_);_(&quot;$&quot;* \(#,##0\);_(&quot;$&quot;* &quot;-&quot;??_);_(@_)"/>
    <numFmt numFmtId="172" formatCode="[$-409]mmmm\ d\,\ yyyy;@"/>
    <numFmt numFmtId="173" formatCode="0000"/>
    <numFmt numFmtId="174" formatCode="#,##0.000000000000"/>
    <numFmt numFmtId="175" formatCode="#,##0.0000"/>
  </numFmts>
  <fonts count="97" x14ac:knownFonts="1">
    <font>
      <sz val="10"/>
      <name val="Arial"/>
    </font>
    <font>
      <sz val="11"/>
      <color theme="1"/>
      <name val="Calibri"/>
      <family val="2"/>
      <scheme val="minor"/>
    </font>
    <font>
      <sz val="10"/>
      <name val="Arial"/>
      <family val="2"/>
    </font>
    <font>
      <b/>
      <sz val="12"/>
      <name val="Times New Roman"/>
      <family val="1"/>
    </font>
    <font>
      <b/>
      <sz val="14"/>
      <name val="Times New Roman"/>
      <family val="1"/>
    </font>
    <font>
      <sz val="12"/>
      <name val="Times New Roman"/>
      <family val="1"/>
    </font>
    <font>
      <b/>
      <u/>
      <sz val="12"/>
      <name val="Times New Roman"/>
      <family val="1"/>
    </font>
    <font>
      <b/>
      <sz val="12"/>
      <color indexed="10"/>
      <name val="Times New Roman"/>
      <family val="1"/>
    </font>
    <font>
      <b/>
      <i/>
      <sz val="12"/>
      <name val="Times New Roman"/>
      <family val="1"/>
    </font>
    <font>
      <sz val="12"/>
      <name val="Arial"/>
      <family val="2"/>
    </font>
    <font>
      <b/>
      <sz val="12"/>
      <color indexed="8"/>
      <name val="Times New Roman"/>
      <family val="1"/>
    </font>
    <font>
      <b/>
      <sz val="12"/>
      <color indexed="12"/>
      <name val="Times New Roman"/>
      <family val="1"/>
    </font>
    <font>
      <b/>
      <sz val="16"/>
      <name val="Times New Roman"/>
      <family val="1"/>
    </font>
    <font>
      <sz val="9"/>
      <name val="Arial"/>
      <family val="2"/>
    </font>
    <font>
      <sz val="8"/>
      <name val="Arial"/>
      <family val="2"/>
    </font>
    <font>
      <b/>
      <sz val="10"/>
      <name val="Times New Roman"/>
      <family val="1"/>
    </font>
    <font>
      <b/>
      <i/>
      <sz val="10"/>
      <name val="Times New Roman"/>
      <family val="1"/>
    </font>
    <font>
      <b/>
      <sz val="12"/>
      <color indexed="30"/>
      <name val="Times New Roman"/>
      <family val="1"/>
    </font>
    <font>
      <i/>
      <sz val="12"/>
      <name val="Times New Roman"/>
      <family val="1"/>
    </font>
    <font>
      <b/>
      <sz val="10"/>
      <name val="Arial"/>
      <family val="2"/>
    </font>
    <font>
      <b/>
      <u/>
      <sz val="10"/>
      <name val="Times New Roman"/>
      <family val="1"/>
    </font>
    <font>
      <b/>
      <sz val="12"/>
      <name val="Calibri"/>
      <family val="2"/>
    </font>
    <font>
      <sz val="11"/>
      <name val="Calibri"/>
      <family val="2"/>
    </font>
    <font>
      <sz val="10"/>
      <name val="Arial"/>
      <family val="2"/>
    </font>
    <font>
      <sz val="10"/>
      <color indexed="10"/>
      <name val="Arial"/>
      <family val="2"/>
    </font>
    <font>
      <b/>
      <sz val="12"/>
      <color indexed="8"/>
      <name val="Calibri"/>
      <family val="2"/>
    </font>
    <font>
      <sz val="10"/>
      <name val="Arial"/>
      <family val="2"/>
    </font>
    <font>
      <b/>
      <u/>
      <sz val="10"/>
      <name val="Arial"/>
      <family val="2"/>
    </font>
    <font>
      <b/>
      <i/>
      <sz val="12"/>
      <name val="Arial"/>
      <family val="2"/>
    </font>
    <font>
      <b/>
      <sz val="11"/>
      <color theme="1"/>
      <name val="Calibri"/>
      <family val="2"/>
      <scheme val="minor"/>
    </font>
    <font>
      <b/>
      <sz val="12"/>
      <color rgb="FF00B050"/>
      <name val="Times New Roman"/>
      <family val="1"/>
    </font>
    <font>
      <b/>
      <sz val="12"/>
      <color rgb="FFFF0000"/>
      <name val="Times New Roman"/>
      <family val="1"/>
    </font>
    <font>
      <i/>
      <sz val="8"/>
      <color theme="1"/>
      <name val="Calibri"/>
      <family val="2"/>
      <scheme val="minor"/>
    </font>
    <font>
      <b/>
      <sz val="22"/>
      <color theme="1"/>
      <name val="Calibri"/>
      <family val="2"/>
      <scheme val="minor"/>
    </font>
    <font>
      <b/>
      <sz val="12"/>
      <color rgb="FF0000FF"/>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0"/>
      <color rgb="FFFF0000"/>
      <name val="Arial"/>
      <family val="2"/>
    </font>
    <font>
      <i/>
      <sz val="18"/>
      <color theme="5"/>
      <name val="Calibri"/>
      <family val="2"/>
      <scheme val="minor"/>
    </font>
    <font>
      <sz val="10"/>
      <color theme="5"/>
      <name val="Arial"/>
      <family val="2"/>
    </font>
    <font>
      <b/>
      <sz val="11"/>
      <color theme="5"/>
      <name val="Calibri"/>
      <family val="2"/>
      <scheme val="minor"/>
    </font>
    <font>
      <b/>
      <sz val="14"/>
      <color theme="5"/>
      <name val="Calibri"/>
      <family val="2"/>
      <scheme val="minor"/>
    </font>
    <font>
      <b/>
      <sz val="18"/>
      <color theme="1"/>
      <name val="Calibri"/>
      <family val="2"/>
      <scheme val="minor"/>
    </font>
    <font>
      <b/>
      <sz val="13"/>
      <color rgb="FFFF0000"/>
      <name val="Times New Roman"/>
      <family val="1"/>
    </font>
    <font>
      <sz val="10"/>
      <color theme="4" tint="-0.249977111117893"/>
      <name val="Arial"/>
      <family val="2"/>
    </font>
    <font>
      <b/>
      <i/>
      <sz val="18"/>
      <color theme="1"/>
      <name val="Calibri"/>
      <family val="2"/>
      <scheme val="minor"/>
    </font>
    <font>
      <sz val="10"/>
      <name val="Helv"/>
    </font>
    <font>
      <b/>
      <sz val="12"/>
      <name val="Arial Narrow"/>
      <family val="2"/>
    </font>
    <font>
      <sz val="12"/>
      <name val="Arial Narrow"/>
      <family val="2"/>
    </font>
    <font>
      <b/>
      <sz val="12"/>
      <color rgb="FFFF0000"/>
      <name val="Arial Narrow"/>
      <family val="2"/>
    </font>
    <font>
      <sz val="12"/>
      <color rgb="FF0070C0"/>
      <name val="Arial Narrow"/>
      <family val="2"/>
    </font>
    <font>
      <b/>
      <u/>
      <sz val="12"/>
      <color rgb="FF0070C0"/>
      <name val="Arial Narrow"/>
      <family val="2"/>
    </font>
    <font>
      <sz val="11"/>
      <name val="Arial Narrow"/>
      <family val="2"/>
    </font>
    <font>
      <b/>
      <sz val="16"/>
      <color rgb="FF0070C0"/>
      <name val="Times New Roman"/>
      <family val="1"/>
    </font>
    <font>
      <b/>
      <sz val="12"/>
      <color rgb="FF0070C0"/>
      <name val="Times New Roman"/>
      <family val="1"/>
    </font>
    <font>
      <b/>
      <sz val="16"/>
      <color indexed="12"/>
      <name val="Times New Roman"/>
      <family val="1"/>
    </font>
    <font>
      <b/>
      <sz val="16"/>
      <color rgb="FF0000FF"/>
      <name val="Times New Roman"/>
      <family val="1"/>
    </font>
    <font>
      <b/>
      <sz val="13"/>
      <name val="Times New Roman"/>
      <family val="1"/>
    </font>
    <font>
      <u/>
      <sz val="9"/>
      <color rgb="FF0000FF"/>
      <name val="Arial"/>
      <family val="2"/>
    </font>
    <font>
      <b/>
      <sz val="9"/>
      <color rgb="FF0000FF"/>
      <name val="Arial"/>
      <family val="2"/>
    </font>
    <font>
      <b/>
      <sz val="10"/>
      <color theme="1"/>
      <name val="Calibri"/>
      <family val="2"/>
      <scheme val="minor"/>
    </font>
    <font>
      <sz val="8.5"/>
      <name val="Arial"/>
      <family val="2"/>
    </font>
    <font>
      <b/>
      <i/>
      <sz val="15"/>
      <color theme="1"/>
      <name val="Calibri"/>
      <family val="2"/>
      <scheme val="minor"/>
    </font>
    <font>
      <b/>
      <sz val="11"/>
      <name val="Arial"/>
      <family val="2"/>
    </font>
    <font>
      <b/>
      <u/>
      <sz val="11"/>
      <name val="Arial"/>
      <family val="2"/>
    </font>
    <font>
      <b/>
      <sz val="9"/>
      <color theme="1"/>
      <name val="Calibri"/>
      <family val="2"/>
      <scheme val="minor"/>
    </font>
    <font>
      <b/>
      <sz val="9"/>
      <color rgb="FF0000FF"/>
      <name val="Calibri"/>
      <family val="2"/>
      <scheme val="minor"/>
    </font>
    <font>
      <b/>
      <sz val="8"/>
      <name val="Arial"/>
      <family val="2"/>
    </font>
    <font>
      <b/>
      <sz val="8"/>
      <color indexed="10"/>
      <name val="Arial"/>
      <family val="2"/>
    </font>
    <font>
      <b/>
      <sz val="8"/>
      <color rgb="FFFF0000"/>
      <name val="Arial"/>
      <family val="2"/>
    </font>
    <font>
      <b/>
      <sz val="8"/>
      <color rgb="FFC00000"/>
      <name val="Arial"/>
      <family val="2"/>
    </font>
    <font>
      <sz val="8"/>
      <color rgb="FFFF0000"/>
      <name val="Arial"/>
      <family val="2"/>
    </font>
    <font>
      <sz val="8"/>
      <color indexed="8"/>
      <name val="Arial"/>
      <family val="2"/>
    </font>
    <font>
      <sz val="8"/>
      <color indexed="10"/>
      <name val="Arial"/>
      <family val="2"/>
    </font>
    <font>
      <b/>
      <sz val="8"/>
      <color rgb="FF0000FF"/>
      <name val="Arial"/>
      <family val="2"/>
    </font>
    <font>
      <sz val="8"/>
      <color indexed="53"/>
      <name val="Arial"/>
      <family val="2"/>
    </font>
    <font>
      <b/>
      <sz val="8"/>
      <color indexed="20"/>
      <name val="Arial"/>
      <family val="2"/>
    </font>
    <font>
      <sz val="8"/>
      <color indexed="12"/>
      <name val="Arial"/>
      <family val="2"/>
    </font>
    <font>
      <b/>
      <sz val="8"/>
      <color indexed="17"/>
      <name val="Arial"/>
      <family val="2"/>
    </font>
    <font>
      <sz val="8"/>
      <color theme="1"/>
      <name val="Arial"/>
      <family val="2"/>
    </font>
    <font>
      <b/>
      <sz val="8"/>
      <color rgb="FFFF3300"/>
      <name val="Arial"/>
      <family val="2"/>
    </font>
    <font>
      <b/>
      <sz val="8"/>
      <color rgb="FFFF00FF"/>
      <name val="Arial"/>
      <family val="2"/>
    </font>
    <font>
      <sz val="8"/>
      <color rgb="FF0000FF"/>
      <name val="Arial"/>
      <family val="2"/>
    </font>
    <font>
      <sz val="8"/>
      <color theme="7"/>
      <name val="Arial"/>
      <family val="2"/>
    </font>
    <font>
      <b/>
      <sz val="8"/>
      <color rgb="FFFFFFCC"/>
      <name val="Arial"/>
      <family val="2"/>
    </font>
    <font>
      <sz val="7"/>
      <name val="Arial"/>
      <family val="2"/>
    </font>
    <font>
      <b/>
      <sz val="8"/>
      <color indexed="60"/>
      <name val="Arial"/>
      <family val="2"/>
    </font>
    <font>
      <sz val="12"/>
      <color rgb="FFFF0000"/>
      <name val="Wingdings 2"/>
      <family val="1"/>
      <charset val="2"/>
    </font>
    <font>
      <b/>
      <sz val="9"/>
      <color indexed="81"/>
      <name val="Tahoma"/>
      <family val="2"/>
    </font>
    <font>
      <sz val="9"/>
      <color indexed="81"/>
      <name val="Tahoma"/>
      <family val="2"/>
    </font>
    <font>
      <i/>
      <sz val="9"/>
      <color indexed="10"/>
      <name val="Times New Roman"/>
      <family val="1"/>
    </font>
    <font>
      <b/>
      <u/>
      <sz val="16"/>
      <name val="Times New Roman"/>
      <family val="1"/>
    </font>
    <font>
      <b/>
      <sz val="12"/>
      <color rgb="FF0000FF"/>
      <name val="Times New Roman"/>
      <family val="1"/>
    </font>
    <font>
      <b/>
      <sz val="9"/>
      <color rgb="FFFF0000"/>
      <name val="Times New Roman"/>
      <family val="1"/>
    </font>
    <font>
      <b/>
      <sz val="12"/>
      <color rgb="FFFF0000"/>
      <name val="Arial"/>
      <family val="2"/>
    </font>
    <font>
      <b/>
      <sz val="18"/>
      <name val="Calibri"/>
      <family val="2"/>
      <scheme val="minor"/>
    </font>
  </fonts>
  <fills count="1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3F1FF"/>
        <bgColor indexed="64"/>
      </patternFill>
    </fill>
    <fill>
      <patternFill patternType="solid">
        <fgColor theme="1"/>
        <bgColor indexed="64"/>
      </patternFill>
    </fill>
    <fill>
      <patternFill patternType="solid">
        <fgColor rgb="FFFFCCFF"/>
        <bgColor indexed="64"/>
      </patternFill>
    </fill>
    <fill>
      <patternFill patternType="solid">
        <fgColor rgb="FF92D050"/>
        <bgColor indexed="64"/>
      </patternFill>
    </fill>
    <fill>
      <patternFill patternType="solid">
        <fgColor rgb="FFCCFFFF"/>
        <bgColor indexed="64"/>
      </patternFill>
    </fill>
    <fill>
      <patternFill patternType="solid">
        <fgColor rgb="FFCCFFCC"/>
        <bgColor indexed="64"/>
      </patternFill>
    </fill>
    <fill>
      <patternFill patternType="solid">
        <fgColor indexed="13"/>
        <bgColor indexed="64"/>
      </patternFill>
    </fill>
    <fill>
      <patternFill patternType="solid">
        <fgColor indexed="42"/>
        <bgColor indexed="64"/>
      </patternFill>
    </fill>
    <fill>
      <patternFill patternType="solid">
        <fgColor rgb="FFFFFF99"/>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style="thick">
        <color rgb="FFFF0000"/>
      </top>
      <bottom/>
      <diagonal/>
    </border>
    <border>
      <left/>
      <right/>
      <top style="thin">
        <color indexed="64"/>
      </top>
      <bottom style="double">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10">
    <xf numFmtId="0" fontId="0" fillId="0" borderId="0"/>
    <xf numFmtId="165" fontId="2" fillId="0" borderId="0" applyFont="0" applyFill="0" applyBorder="0" applyAlignment="0" applyProtection="0"/>
    <xf numFmtId="44" fontId="2" fillId="0" borderId="0" applyFont="0" applyFill="0" applyBorder="0" applyAlignment="0" applyProtection="0"/>
    <xf numFmtId="164" fontId="2" fillId="0" borderId="0" applyFont="0" applyFill="0" applyBorder="0" applyAlignment="0" applyProtection="0"/>
    <xf numFmtId="0" fontId="2" fillId="0" borderId="0"/>
    <xf numFmtId="0" fontId="47" fillId="0" borderId="0"/>
    <xf numFmtId="0" fontId="2" fillId="0" borderId="0"/>
    <xf numFmtId="0" fontId="1" fillId="0" borderId="0"/>
    <xf numFmtId="43" fontId="80" fillId="0" borderId="0" applyFont="0" applyFill="0" applyBorder="0" applyAlignment="0" applyProtection="0"/>
    <xf numFmtId="43" fontId="1" fillId="0" borderId="0" applyFont="0" applyFill="0" applyBorder="0" applyAlignment="0" applyProtection="0"/>
  </cellStyleXfs>
  <cellXfs count="428">
    <xf numFmtId="0" fontId="0" fillId="0" borderId="0" xfId="0"/>
    <xf numFmtId="0" fontId="32" fillId="0" borderId="0" xfId="0" applyFont="1"/>
    <xf numFmtId="0" fontId="32" fillId="0" borderId="0" xfId="0" applyFont="1" applyAlignment="1" applyProtection="1">
      <alignment horizontal="centerContinuous"/>
      <protection hidden="1"/>
    </xf>
    <xf numFmtId="0" fontId="0" fillId="0" borderId="0" xfId="0" applyProtection="1">
      <protection hidden="1"/>
    </xf>
    <xf numFmtId="0" fontId="19" fillId="0" borderId="0" xfId="0" applyFont="1" applyAlignment="1" applyProtection="1">
      <alignment horizontal="right"/>
      <protection hidden="1"/>
    </xf>
    <xf numFmtId="0" fontId="43" fillId="2" borderId="0" xfId="0" applyFont="1" applyFill="1" applyProtection="1">
      <protection hidden="1"/>
    </xf>
    <xf numFmtId="0" fontId="33" fillId="2" borderId="0" xfId="0" applyFont="1" applyFill="1" applyProtection="1">
      <protection hidden="1"/>
    </xf>
    <xf numFmtId="0" fontId="2" fillId="0" borderId="8" xfId="0" applyFont="1" applyBorder="1" applyProtection="1">
      <protection hidden="1"/>
    </xf>
    <xf numFmtId="0" fontId="0" fillId="0" borderId="9" xfId="0" applyBorder="1" applyProtection="1">
      <protection hidden="1"/>
    </xf>
    <xf numFmtId="171" fontId="0" fillId="0" borderId="7" xfId="2" applyNumberFormat="1" applyFont="1" applyBorder="1" applyProtection="1">
      <protection hidden="1"/>
    </xf>
    <xf numFmtId="0" fontId="0" fillId="0" borderId="8" xfId="0" applyBorder="1" applyProtection="1">
      <protection hidden="1"/>
    </xf>
    <xf numFmtId="0" fontId="34" fillId="0" borderId="8" xfId="0" applyFont="1" applyBorder="1" applyProtection="1">
      <protection hidden="1"/>
    </xf>
    <xf numFmtId="0" fontId="34" fillId="0" borderId="9" xfId="0" applyFont="1" applyBorder="1" applyProtection="1">
      <protection hidden="1"/>
    </xf>
    <xf numFmtId="171" fontId="34" fillId="0" borderId="7" xfId="0" applyNumberFormat="1" applyFont="1" applyBorder="1" applyProtection="1">
      <protection hidden="1"/>
    </xf>
    <xf numFmtId="0" fontId="35" fillId="3" borderId="1" xfId="0" applyFont="1" applyFill="1" applyBorder="1" applyProtection="1">
      <protection hidden="1"/>
    </xf>
    <xf numFmtId="0" fontId="0" fillId="0" borderId="7" xfId="0" applyBorder="1" applyProtection="1">
      <protection hidden="1"/>
    </xf>
    <xf numFmtId="0" fontId="34" fillId="0" borderId="1" xfId="0" applyFont="1" applyBorder="1" applyProtection="1">
      <protection hidden="1"/>
    </xf>
    <xf numFmtId="171" fontId="34" fillId="0" borderId="1" xfId="0" applyNumberFormat="1" applyFont="1" applyBorder="1" applyProtection="1">
      <protection hidden="1"/>
    </xf>
    <xf numFmtId="0" fontId="29" fillId="3" borderId="8" xfId="0" applyFont="1" applyFill="1" applyBorder="1" applyProtection="1">
      <protection hidden="1"/>
    </xf>
    <xf numFmtId="0" fontId="29" fillId="3" borderId="2" xfId="0" applyFont="1" applyFill="1" applyBorder="1" applyProtection="1">
      <protection hidden="1"/>
    </xf>
    <xf numFmtId="0" fontId="2" fillId="0" borderId="8" xfId="0" applyFont="1" applyBorder="1" applyAlignment="1" applyProtection="1">
      <alignment horizontal="center"/>
      <protection hidden="1"/>
    </xf>
    <xf numFmtId="0" fontId="2" fillId="0" borderId="9" xfId="0" applyFont="1" applyBorder="1" applyProtection="1">
      <protection hidden="1"/>
    </xf>
    <xf numFmtId="0" fontId="0" fillId="0" borderId="8" xfId="0" applyBorder="1" applyAlignment="1" applyProtection="1">
      <alignment horizontal="center"/>
      <protection hidden="1"/>
    </xf>
    <xf numFmtId="0" fontId="3" fillId="0" borderId="0" xfId="0" applyFont="1" applyProtection="1">
      <protection hidden="1"/>
    </xf>
    <xf numFmtId="0" fontId="12" fillId="0" borderId="0" xfId="0" applyFont="1" applyProtection="1">
      <protection hidden="1"/>
    </xf>
    <xf numFmtId="0" fontId="44" fillId="0" borderId="0" xfId="0" applyFont="1" applyAlignment="1" applyProtection="1">
      <alignment vertical="center"/>
      <protection hidden="1"/>
    </xf>
    <xf numFmtId="0" fontId="44" fillId="0" borderId="0" xfId="0" applyFont="1" applyProtection="1">
      <protection hidden="1"/>
    </xf>
    <xf numFmtId="0" fontId="49" fillId="0" borderId="0" xfId="5" applyFont="1"/>
    <xf numFmtId="0" fontId="48" fillId="0" borderId="0" xfId="5" applyFont="1" applyAlignment="1" applyProtection="1">
      <alignment horizontal="left"/>
      <protection hidden="1"/>
    </xf>
    <xf numFmtId="0" fontId="49" fillId="0" borderId="0" xfId="5" applyFont="1" applyAlignment="1" applyProtection="1">
      <alignment horizontal="centerContinuous"/>
      <protection hidden="1"/>
    </xf>
    <xf numFmtId="0" fontId="49" fillId="0" borderId="0" xfId="5" applyFont="1" applyProtection="1">
      <protection hidden="1"/>
    </xf>
    <xf numFmtId="0" fontId="50" fillId="0" borderId="0" xfId="5" applyFont="1" applyProtection="1">
      <protection hidden="1"/>
    </xf>
    <xf numFmtId="172" fontId="48" fillId="0" borderId="0" xfId="5" applyNumberFormat="1" applyFont="1" applyAlignment="1" applyProtection="1">
      <alignment horizontal="centerContinuous"/>
      <protection hidden="1"/>
    </xf>
    <xf numFmtId="0" fontId="49" fillId="0" borderId="0" xfId="5" applyFont="1" applyAlignment="1" applyProtection="1">
      <alignment horizontal="left"/>
      <protection hidden="1"/>
    </xf>
    <xf numFmtId="0" fontId="48" fillId="0" borderId="1" xfId="5" applyFont="1" applyBorder="1" applyAlignment="1" applyProtection="1">
      <alignment horizontal="center"/>
      <protection hidden="1"/>
    </xf>
    <xf numFmtId="0" fontId="48" fillId="0" borderId="1" xfId="5" applyFont="1" applyBorder="1" applyAlignment="1" applyProtection="1">
      <alignment horizontal="centerContinuous"/>
      <protection hidden="1"/>
    </xf>
    <xf numFmtId="173" fontId="49" fillId="0" borderId="0" xfId="5" applyNumberFormat="1" applyFont="1" applyAlignment="1" applyProtection="1">
      <alignment horizontal="center"/>
      <protection hidden="1"/>
    </xf>
    <xf numFmtId="0" fontId="49" fillId="0" borderId="0" xfId="5" applyFont="1" applyAlignment="1" applyProtection="1">
      <alignment horizontal="center"/>
      <protection hidden="1"/>
    </xf>
    <xf numFmtId="0" fontId="51" fillId="0" borderId="0" xfId="5" applyFont="1" applyAlignment="1" applyProtection="1">
      <alignment horizontal="center"/>
      <protection hidden="1"/>
    </xf>
    <xf numFmtId="0" fontId="52" fillId="0" borderId="0" xfId="5" applyFont="1" applyProtection="1">
      <protection hidden="1"/>
    </xf>
    <xf numFmtId="0" fontId="51" fillId="0" borderId="0" xfId="5" applyFont="1" applyProtection="1">
      <protection hidden="1"/>
    </xf>
    <xf numFmtId="0" fontId="49" fillId="0" borderId="0" xfId="6" applyFont="1" applyAlignment="1" applyProtection="1">
      <alignment horizontal="center"/>
      <protection hidden="1"/>
    </xf>
    <xf numFmtId="49" fontId="49" fillId="0" borderId="0" xfId="6" applyNumberFormat="1" applyFont="1" applyAlignment="1" applyProtection="1">
      <alignment horizontal="left"/>
      <protection hidden="1"/>
    </xf>
    <xf numFmtId="0" fontId="48" fillId="0" borderId="0" xfId="5" applyFont="1" applyProtection="1">
      <protection hidden="1"/>
    </xf>
    <xf numFmtId="0" fontId="53" fillId="0" borderId="0" xfId="5" applyFont="1" applyProtection="1">
      <protection hidden="1"/>
    </xf>
    <xf numFmtId="0" fontId="19" fillId="0" borderId="0" xfId="0" applyFont="1" applyProtection="1">
      <protection hidden="1"/>
    </xf>
    <xf numFmtId="0" fontId="40" fillId="0" borderId="0" xfId="0" applyFont="1" applyAlignment="1" applyProtection="1">
      <alignment horizontal="center"/>
      <protection hidden="1"/>
    </xf>
    <xf numFmtId="171" fontId="0" fillId="0" borderId="0" xfId="0" applyNumberFormat="1" applyProtection="1">
      <protection hidden="1"/>
    </xf>
    <xf numFmtId="0" fontId="35" fillId="4" borderId="8" xfId="0" applyFont="1" applyFill="1" applyBorder="1" applyAlignment="1" applyProtection="1">
      <alignment horizontal="left"/>
      <protection hidden="1"/>
    </xf>
    <xf numFmtId="0" fontId="42" fillId="4" borderId="2" xfId="0" applyFont="1" applyFill="1" applyBorder="1" applyAlignment="1" applyProtection="1">
      <alignment horizontal="center"/>
      <protection hidden="1"/>
    </xf>
    <xf numFmtId="0" fontId="35" fillId="4" borderId="2" xfId="0" applyFont="1" applyFill="1" applyBorder="1" applyAlignment="1" applyProtection="1">
      <alignment horizontal="center"/>
      <protection hidden="1"/>
    </xf>
    <xf numFmtId="0" fontId="36" fillId="0" borderId="0" xfId="0" applyFont="1" applyProtection="1">
      <protection hidden="1"/>
    </xf>
    <xf numFmtId="49" fontId="0" fillId="0" borderId="23" xfId="0" applyNumberFormat="1" applyBorder="1" applyAlignment="1" applyProtection="1">
      <alignment horizontal="center"/>
      <protection hidden="1"/>
    </xf>
    <xf numFmtId="0" fontId="2" fillId="0" borderId="7" xfId="0" applyFont="1" applyBorder="1" applyProtection="1">
      <protection hidden="1"/>
    </xf>
    <xf numFmtId="171" fontId="26" fillId="0" borderId="7" xfId="2" applyNumberFormat="1" applyFont="1" applyFill="1" applyBorder="1" applyAlignment="1" applyProtection="1">
      <protection hidden="1"/>
    </xf>
    <xf numFmtId="0" fontId="2" fillId="0" borderId="0" xfId="0" applyFont="1" applyProtection="1">
      <protection hidden="1"/>
    </xf>
    <xf numFmtId="49" fontId="0" fillId="0" borderId="7" xfId="0" applyNumberFormat="1" applyBorder="1" applyAlignment="1" applyProtection="1">
      <alignment horizontal="center" vertical="center"/>
      <protection hidden="1"/>
    </xf>
    <xf numFmtId="0" fontId="0" fillId="0" borderId="7" xfId="0" applyBorder="1" applyAlignment="1" applyProtection="1">
      <alignment vertical="center"/>
      <protection hidden="1"/>
    </xf>
    <xf numFmtId="49" fontId="0" fillId="0" borderId="7" xfId="2" applyNumberFormat="1" applyFont="1" applyFill="1" applyBorder="1" applyAlignment="1" applyProtection="1">
      <alignment horizontal="center" vertical="center"/>
      <protection hidden="1"/>
    </xf>
    <xf numFmtId="0" fontId="2" fillId="0" borderId="0" xfId="0" applyFont="1" applyAlignment="1" applyProtection="1">
      <alignment vertical="center"/>
      <protection hidden="1"/>
    </xf>
    <xf numFmtId="49" fontId="23" fillId="0" borderId="7" xfId="2" applyNumberFormat="1" applyFont="1" applyFill="1" applyBorder="1" applyAlignment="1" applyProtection="1">
      <alignment horizontal="center" vertical="center"/>
      <protection hidden="1"/>
    </xf>
    <xf numFmtId="171" fontId="26" fillId="0" borderId="7" xfId="2" applyNumberFormat="1" applyFont="1" applyFill="1" applyBorder="1" applyAlignment="1" applyProtection="1">
      <alignment vertical="center"/>
      <protection hidden="1"/>
    </xf>
    <xf numFmtId="0" fontId="2" fillId="0" borderId="7" xfId="0" applyFont="1" applyBorder="1" applyAlignment="1" applyProtection="1">
      <alignment vertical="center"/>
      <protection hidden="1"/>
    </xf>
    <xf numFmtId="49" fontId="0" fillId="0" borderId="18" xfId="2" applyNumberFormat="1" applyFont="1" applyFill="1" applyBorder="1" applyAlignment="1" applyProtection="1">
      <alignment horizontal="center" vertical="center"/>
      <protection hidden="1"/>
    </xf>
    <xf numFmtId="49" fontId="2" fillId="0" borderId="7" xfId="2" applyNumberFormat="1" applyFont="1" applyFill="1" applyBorder="1" applyAlignment="1" applyProtection="1">
      <alignment horizontal="center" vertical="center"/>
      <protection hidden="1"/>
    </xf>
    <xf numFmtId="0" fontId="37" fillId="0" borderId="0" xfId="0" applyFont="1" applyAlignment="1" applyProtection="1">
      <alignment horizontal="center"/>
      <protection hidden="1"/>
    </xf>
    <xf numFmtId="0" fontId="14" fillId="0" borderId="0" xfId="0" applyFont="1" applyProtection="1">
      <protection hidden="1"/>
    </xf>
    <xf numFmtId="0" fontId="13" fillId="0" borderId="12" xfId="0" applyFont="1" applyBorder="1" applyProtection="1">
      <protection hidden="1"/>
    </xf>
    <xf numFmtId="49" fontId="38" fillId="0" borderId="7" xfId="2" applyNumberFormat="1" applyFont="1" applyFill="1" applyBorder="1" applyAlignment="1" applyProtection="1">
      <alignment horizontal="center" vertical="center"/>
      <protection hidden="1"/>
    </xf>
    <xf numFmtId="0" fontId="45" fillId="0" borderId="7" xfId="0" applyFont="1" applyBorder="1" applyAlignment="1" applyProtection="1">
      <alignment vertical="center"/>
      <protection hidden="1"/>
    </xf>
    <xf numFmtId="0" fontId="0" fillId="0" borderId="18" xfId="0" applyBorder="1" applyAlignment="1" applyProtection="1">
      <alignment vertical="center"/>
      <protection hidden="1"/>
    </xf>
    <xf numFmtId="0" fontId="37" fillId="5" borderId="16" xfId="0" applyFont="1" applyFill="1" applyBorder="1" applyProtection="1">
      <protection hidden="1"/>
    </xf>
    <xf numFmtId="171" fontId="37" fillId="5" borderId="17" xfId="2" applyNumberFormat="1" applyFont="1" applyFill="1" applyBorder="1" applyProtection="1">
      <protection hidden="1"/>
    </xf>
    <xf numFmtId="0" fontId="13" fillId="0" borderId="14" xfId="0" applyFont="1" applyBorder="1" applyAlignment="1" applyProtection="1">
      <alignment vertical="top"/>
      <protection hidden="1"/>
    </xf>
    <xf numFmtId="171" fontId="35" fillId="4" borderId="2" xfId="2" applyNumberFormat="1" applyFont="1" applyFill="1" applyBorder="1" applyAlignment="1" applyProtection="1">
      <alignment horizontal="center"/>
      <protection hidden="1"/>
    </xf>
    <xf numFmtId="0" fontId="0" fillId="0" borderId="7" xfId="0" applyBorder="1" applyAlignment="1" applyProtection="1">
      <alignment horizontal="center"/>
      <protection hidden="1"/>
    </xf>
    <xf numFmtId="0" fontId="37" fillId="5" borderId="7" xfId="0" applyFont="1" applyFill="1" applyBorder="1" applyAlignment="1" applyProtection="1">
      <alignment horizontal="center"/>
      <protection hidden="1"/>
    </xf>
    <xf numFmtId="171" fontId="37" fillId="5" borderId="7" xfId="2" applyNumberFormat="1" applyFont="1" applyFill="1" applyBorder="1" applyProtection="1">
      <protection hidden="1"/>
    </xf>
    <xf numFmtId="0" fontId="40" fillId="0" borderId="7" xfId="0" applyFont="1" applyBorder="1" applyAlignment="1" applyProtection="1">
      <alignment horizontal="center"/>
      <protection hidden="1"/>
    </xf>
    <xf numFmtId="0" fontId="29" fillId="5" borderId="7" xfId="0" applyFont="1" applyFill="1" applyBorder="1" applyAlignment="1" applyProtection="1">
      <alignment horizontal="center"/>
      <protection hidden="1"/>
    </xf>
    <xf numFmtId="0" fontId="54" fillId="0" borderId="1" xfId="0" applyFont="1" applyBorder="1" applyProtection="1">
      <protection hidden="1"/>
    </xf>
    <xf numFmtId="0" fontId="55" fillId="0" borderId="1" xfId="0" applyFont="1" applyBorder="1" applyProtection="1">
      <protection hidden="1"/>
    </xf>
    <xf numFmtId="4" fontId="56" fillId="0" borderId="1" xfId="0" applyNumberFormat="1" applyFont="1" applyBorder="1" applyProtection="1">
      <protection hidden="1"/>
    </xf>
    <xf numFmtId="0" fontId="58" fillId="0" borderId="0" xfId="0" applyFont="1" applyProtection="1">
      <protection hidden="1"/>
    </xf>
    <xf numFmtId="171" fontId="0" fillId="0" borderId="7" xfId="2" applyNumberFormat="1" applyFont="1" applyFill="1" applyBorder="1" applyAlignment="1" applyProtection="1">
      <alignment vertical="center"/>
      <protection hidden="1"/>
    </xf>
    <xf numFmtId="171" fontId="37" fillId="0" borderId="7" xfId="2" applyNumberFormat="1" applyFont="1" applyFill="1" applyBorder="1" applyProtection="1">
      <protection hidden="1"/>
    </xf>
    <xf numFmtId="0" fontId="59" fillId="0" borderId="10" xfId="0" applyFont="1" applyBorder="1" applyProtection="1">
      <protection hidden="1"/>
    </xf>
    <xf numFmtId="0" fontId="60" fillId="0" borderId="11" xfId="0" applyFont="1" applyBorder="1" applyProtection="1">
      <protection hidden="1"/>
    </xf>
    <xf numFmtId="0" fontId="29" fillId="5" borderId="23" xfId="0" applyFont="1" applyFill="1" applyBorder="1" applyAlignment="1" applyProtection="1">
      <alignment horizontal="center"/>
      <protection hidden="1"/>
    </xf>
    <xf numFmtId="0" fontId="41" fillId="5" borderId="23" xfId="0" applyFont="1" applyFill="1" applyBorder="1" applyAlignment="1" applyProtection="1">
      <alignment horizontal="center"/>
      <protection hidden="1"/>
    </xf>
    <xf numFmtId="0" fontId="29" fillId="5" borderId="15" xfId="0" applyFont="1" applyFill="1" applyBorder="1" applyAlignment="1" applyProtection="1">
      <alignment horizontal="center"/>
      <protection hidden="1"/>
    </xf>
    <xf numFmtId="0" fontId="35" fillId="4" borderId="14" xfId="0" applyFont="1" applyFill="1" applyBorder="1" applyAlignment="1" applyProtection="1">
      <alignment horizontal="left"/>
      <protection hidden="1"/>
    </xf>
    <xf numFmtId="0" fontId="42" fillId="4" borderId="1" xfId="0" applyFont="1" applyFill="1" applyBorder="1" applyAlignment="1" applyProtection="1">
      <alignment horizontal="center"/>
      <protection hidden="1"/>
    </xf>
    <xf numFmtId="0" fontId="35" fillId="4" borderId="1" xfId="0" applyFont="1" applyFill="1" applyBorder="1" applyAlignment="1" applyProtection="1">
      <alignment horizontal="center"/>
      <protection hidden="1"/>
    </xf>
    <xf numFmtId="171" fontId="35" fillId="4" borderId="1" xfId="2" applyNumberFormat="1" applyFont="1" applyFill="1" applyBorder="1" applyAlignment="1" applyProtection="1">
      <alignment horizontal="center"/>
      <protection hidden="1"/>
    </xf>
    <xf numFmtId="171" fontId="37" fillId="0" borderId="0" xfId="2" applyNumberFormat="1" applyFont="1" applyFill="1" applyBorder="1" applyProtection="1">
      <protection hidden="1"/>
    </xf>
    <xf numFmtId="0" fontId="39" fillId="0" borderId="0" xfId="0" applyFont="1" applyAlignment="1" applyProtection="1">
      <alignment horizontal="center"/>
      <protection hidden="1"/>
    </xf>
    <xf numFmtId="0" fontId="0" fillId="0" borderId="0" xfId="0" applyAlignment="1" applyProtection="1">
      <alignment horizontal="centerContinuous"/>
      <protection hidden="1"/>
    </xf>
    <xf numFmtId="0" fontId="19" fillId="0" borderId="0" xfId="0" applyFont="1" applyAlignment="1" applyProtection="1">
      <alignment horizontal="left" vertical="center"/>
      <protection hidden="1"/>
    </xf>
    <xf numFmtId="0" fontId="0" fillId="0" borderId="0" xfId="0" applyAlignment="1" applyProtection="1">
      <alignment horizontal="center"/>
      <protection hidden="1"/>
    </xf>
    <xf numFmtId="0" fontId="35" fillId="3" borderId="2" xfId="0" applyFont="1" applyFill="1" applyBorder="1" applyProtection="1">
      <protection hidden="1"/>
    </xf>
    <xf numFmtId="0" fontId="34" fillId="0" borderId="7" xfId="0" applyFont="1" applyBorder="1" applyProtection="1">
      <protection hidden="1"/>
    </xf>
    <xf numFmtId="0" fontId="34" fillId="0" borderId="0" xfId="0" applyFont="1" applyProtection="1">
      <protection hidden="1"/>
    </xf>
    <xf numFmtId="2" fontId="19" fillId="0" borderId="0" xfId="0" applyNumberFormat="1" applyFont="1" applyAlignment="1" applyProtection="1">
      <alignment horizontal="center"/>
      <protection hidden="1"/>
    </xf>
    <xf numFmtId="0" fontId="34" fillId="0" borderId="13" xfId="0" applyFont="1" applyBorder="1" applyProtection="1">
      <protection hidden="1"/>
    </xf>
    <xf numFmtId="0" fontId="19" fillId="0" borderId="19" xfId="0" applyFont="1" applyBorder="1" applyAlignment="1" applyProtection="1">
      <alignment horizontal="right"/>
      <protection hidden="1"/>
    </xf>
    <xf numFmtId="2" fontId="19" fillId="0" borderId="21" xfId="0" applyNumberFormat="1" applyFont="1" applyBorder="1" applyAlignment="1" applyProtection="1">
      <alignment horizontal="center"/>
      <protection hidden="1"/>
    </xf>
    <xf numFmtId="0" fontId="68" fillId="0" borderId="0" xfId="6" applyFont="1"/>
    <xf numFmtId="0" fontId="14" fillId="0" borderId="0" xfId="6" applyFont="1"/>
    <xf numFmtId="43" fontId="14" fillId="0" borderId="0" xfId="6" applyNumberFormat="1" applyFont="1" applyAlignment="1">
      <alignment horizontal="right"/>
    </xf>
    <xf numFmtId="0" fontId="71" fillId="0" borderId="0" xfId="6" applyFont="1" applyAlignment="1">
      <alignment horizontal="center"/>
    </xf>
    <xf numFmtId="43" fontId="14" fillId="0" borderId="0" xfId="6" applyNumberFormat="1" applyFont="1" applyAlignment="1">
      <alignment horizontal="center"/>
    </xf>
    <xf numFmtId="43" fontId="70" fillId="0" borderId="0" xfId="6" applyNumberFormat="1" applyFont="1" applyAlignment="1">
      <alignment horizontal="center"/>
    </xf>
    <xf numFmtId="0" fontId="14" fillId="0" borderId="0" xfId="7" applyFont="1" applyAlignment="1">
      <alignment horizontal="center"/>
    </xf>
    <xf numFmtId="0" fontId="70" fillId="0" borderId="0" xfId="6" applyFont="1" applyAlignment="1">
      <alignment horizontal="center"/>
    </xf>
    <xf numFmtId="0" fontId="14" fillId="0" borderId="1" xfId="6" applyFont="1" applyBorder="1" applyAlignment="1">
      <alignment horizontal="center"/>
    </xf>
    <xf numFmtId="173" fontId="14" fillId="0" borderId="1" xfId="6" applyNumberFormat="1" applyFont="1" applyBorder="1" applyAlignment="1">
      <alignment horizontal="center"/>
    </xf>
    <xf numFmtId="0" fontId="73" fillId="0" borderId="1" xfId="6" applyFont="1" applyBorder="1" applyAlignment="1">
      <alignment horizontal="center"/>
    </xf>
    <xf numFmtId="0" fontId="70" fillId="0" borderId="0" xfId="6" applyFont="1" applyAlignment="1">
      <alignment horizontal="left"/>
    </xf>
    <xf numFmtId="0" fontId="14" fillId="0" borderId="0" xfId="6" applyFont="1" applyAlignment="1">
      <alignment horizontal="center"/>
    </xf>
    <xf numFmtId="0" fontId="75" fillId="0" borderId="0" xfId="6" applyFont="1"/>
    <xf numFmtId="41" fontId="14" fillId="0" borderId="0" xfId="6" applyNumberFormat="1" applyFont="1" applyAlignment="1">
      <alignment horizontal="center"/>
    </xf>
    <xf numFmtId="43" fontId="76" fillId="0" borderId="0" xfId="6" applyNumberFormat="1" applyFont="1" applyAlignment="1">
      <alignment horizontal="right"/>
    </xf>
    <xf numFmtId="0" fontId="77" fillId="0" borderId="0" xfId="6" applyFont="1"/>
    <xf numFmtId="16" fontId="71" fillId="0" borderId="0" xfId="6" applyNumberFormat="1" applyFont="1" applyAlignment="1">
      <alignment horizontal="center"/>
    </xf>
    <xf numFmtId="43" fontId="78" fillId="0" borderId="0" xfId="6" applyNumberFormat="1" applyFont="1" applyAlignment="1">
      <alignment horizontal="right"/>
    </xf>
    <xf numFmtId="0" fontId="72" fillId="0" borderId="0" xfId="6" applyFont="1" applyAlignment="1">
      <alignment horizontal="center"/>
    </xf>
    <xf numFmtId="49" fontId="14" fillId="0" borderId="0" xfId="6" applyNumberFormat="1" applyFont="1" applyAlignment="1">
      <alignment horizontal="center" wrapText="1"/>
    </xf>
    <xf numFmtId="0" fontId="79" fillId="0" borderId="0" xfId="6" applyFont="1"/>
    <xf numFmtId="43" fontId="14" fillId="0" borderId="0" xfId="6" applyNumberFormat="1" applyFont="1"/>
    <xf numFmtId="43" fontId="14" fillId="0" borderId="0" xfId="8" applyFont="1" applyAlignment="1"/>
    <xf numFmtId="0" fontId="81" fillId="0" borderId="0" xfId="6" applyFont="1"/>
    <xf numFmtId="41" fontId="71" fillId="0" borderId="0" xfId="6" applyNumberFormat="1" applyFont="1" applyAlignment="1">
      <alignment horizontal="center"/>
    </xf>
    <xf numFmtId="0" fontId="82" fillId="0" borderId="0" xfId="6" applyFont="1"/>
    <xf numFmtId="0" fontId="83" fillId="0" borderId="0" xfId="6" applyFont="1" applyAlignment="1">
      <alignment horizontal="center"/>
    </xf>
    <xf numFmtId="0" fontId="84" fillId="0" borderId="0" xfId="6" applyFont="1"/>
    <xf numFmtId="0" fontId="14" fillId="0" borderId="0" xfId="6" applyFont="1" applyAlignment="1">
      <alignment horizontal="right"/>
    </xf>
    <xf numFmtId="0" fontId="86" fillId="0" borderId="0" xfId="6" applyFont="1" applyAlignment="1">
      <alignment horizontal="center"/>
    </xf>
    <xf numFmtId="0" fontId="70" fillId="0" borderId="0" xfId="6" applyFont="1"/>
    <xf numFmtId="3" fontId="14" fillId="0" borderId="0" xfId="6" applyNumberFormat="1" applyFont="1"/>
    <xf numFmtId="0" fontId="87" fillId="0" borderId="0" xfId="6" applyFont="1"/>
    <xf numFmtId="37" fontId="14" fillId="0" borderId="0" xfId="6" applyNumberFormat="1" applyFont="1"/>
    <xf numFmtId="16" fontId="14" fillId="0" borderId="0" xfId="6" quotePrefix="1" applyNumberFormat="1" applyFont="1" applyAlignment="1">
      <alignment horizontal="center"/>
    </xf>
    <xf numFmtId="0" fontId="14" fillId="0" borderId="0" xfId="6" quotePrefix="1" applyFont="1" applyAlignment="1">
      <alignment horizontal="center"/>
    </xf>
    <xf numFmtId="49" fontId="14" fillId="0" borderId="0" xfId="6" quotePrefix="1" applyNumberFormat="1" applyFont="1" applyAlignment="1">
      <alignment horizontal="center"/>
    </xf>
    <xf numFmtId="49" fontId="14" fillId="0" borderId="0" xfId="6" applyNumberFormat="1" applyFont="1" applyAlignment="1">
      <alignment horizontal="center"/>
    </xf>
    <xf numFmtId="174" fontId="14" fillId="0" borderId="0" xfId="6" applyNumberFormat="1" applyFont="1"/>
    <xf numFmtId="43" fontId="14" fillId="0" borderId="0" xfId="8" applyFont="1" applyFill="1" applyAlignment="1"/>
    <xf numFmtId="0" fontId="14" fillId="0" borderId="0" xfId="6" applyFont="1" applyAlignment="1">
      <alignment horizontal="right" vertical="center"/>
    </xf>
    <xf numFmtId="0" fontId="14" fillId="0" borderId="0" xfId="6" applyFont="1" applyAlignment="1">
      <alignment horizontal="center" wrapText="1"/>
    </xf>
    <xf numFmtId="43" fontId="14" fillId="0" borderId="0" xfId="8" applyFont="1" applyFill="1"/>
    <xf numFmtId="49" fontId="68" fillId="0" borderId="1" xfId="6" applyNumberFormat="1" applyFont="1" applyBorder="1" applyAlignment="1">
      <alignment horizontal="left"/>
    </xf>
    <xf numFmtId="0" fontId="14" fillId="0" borderId="1" xfId="6" applyFont="1" applyBorder="1" applyAlignment="1">
      <alignment horizontal="right"/>
    </xf>
    <xf numFmtId="43" fontId="14" fillId="0" borderId="0" xfId="8" applyFont="1" applyFill="1" applyBorder="1"/>
    <xf numFmtId="49" fontId="68" fillId="0" borderId="0" xfId="6" applyNumberFormat="1" applyFont="1" applyAlignment="1">
      <alignment horizontal="left"/>
    </xf>
    <xf numFmtId="0" fontId="72" fillId="0" borderId="0" xfId="6" quotePrefix="1" applyFont="1" applyAlignment="1">
      <alignment horizontal="center"/>
    </xf>
    <xf numFmtId="0" fontId="73" fillId="0" borderId="0" xfId="6" applyFont="1"/>
    <xf numFmtId="49" fontId="68" fillId="7" borderId="0" xfId="6" applyNumberFormat="1" applyFont="1" applyFill="1" applyAlignment="1">
      <alignment horizontal="left"/>
    </xf>
    <xf numFmtId="0" fontId="14" fillId="7" borderId="0" xfId="6" applyFont="1" applyFill="1"/>
    <xf numFmtId="0" fontId="14" fillId="0" borderId="1" xfId="6" applyFont="1" applyBorder="1"/>
    <xf numFmtId="43" fontId="14" fillId="0" borderId="7" xfId="6" applyNumberFormat="1" applyFont="1" applyBorder="1"/>
    <xf numFmtId="43" fontId="68" fillId="0" borderId="0" xfId="6" applyNumberFormat="1" applyFont="1"/>
    <xf numFmtId="39" fontId="78" fillId="0" borderId="0" xfId="6" applyNumberFormat="1" applyFont="1"/>
    <xf numFmtId="39" fontId="88" fillId="0" borderId="0" xfId="6" applyNumberFormat="1" applyFont="1" applyAlignment="1">
      <alignment horizontal="center"/>
    </xf>
    <xf numFmtId="3" fontId="72" fillId="0" borderId="0" xfId="6" applyNumberFormat="1" applyFont="1" applyAlignment="1">
      <alignment horizontal="center"/>
    </xf>
    <xf numFmtId="39" fontId="73" fillId="0" borderId="0" xfId="6" applyNumberFormat="1" applyFont="1"/>
    <xf numFmtId="43" fontId="78" fillId="0" borderId="0" xfId="6" applyNumberFormat="1" applyFont="1"/>
    <xf numFmtId="43" fontId="78" fillId="0" borderId="0" xfId="6" applyNumberFormat="1" applyFont="1" applyAlignment="1">
      <alignment horizontal="center"/>
    </xf>
    <xf numFmtId="43" fontId="73" fillId="0" borderId="0" xfId="6" applyNumberFormat="1" applyFont="1"/>
    <xf numFmtId="43" fontId="83" fillId="0" borderId="0" xfId="6" applyNumberFormat="1" applyFont="1"/>
    <xf numFmtId="43" fontId="14" fillId="0" borderId="0" xfId="8" applyFont="1"/>
    <xf numFmtId="0" fontId="7" fillId="0" borderId="3" xfId="0" applyFont="1" applyBorder="1"/>
    <xf numFmtId="0" fontId="3" fillId="0" borderId="0" xfId="0" applyFont="1"/>
    <xf numFmtId="167" fontId="3" fillId="0" borderId="0" xfId="0" applyNumberFormat="1" applyFont="1"/>
    <xf numFmtId="4" fontId="3" fillId="0" borderId="0" xfId="0" applyNumberFormat="1" applyFont="1"/>
    <xf numFmtId="164" fontId="3" fillId="0" borderId="0" xfId="3" applyFont="1"/>
    <xf numFmtId="0" fontId="12" fillId="0" borderId="0" xfId="0" applyFont="1"/>
    <xf numFmtId="0" fontId="4" fillId="0" borderId="0" xfId="0" applyFont="1"/>
    <xf numFmtId="4" fontId="11" fillId="0" borderId="0" xfId="0" applyNumberFormat="1" applyFont="1"/>
    <xf numFmtId="0" fontId="5" fillId="0" borderId="0" xfId="0" applyFont="1" applyAlignment="1">
      <alignment horizontal="center"/>
    </xf>
    <xf numFmtId="7" fontId="0" fillId="0" borderId="0" xfId="0" applyNumberFormat="1" applyAlignment="1">
      <alignment horizontal="center"/>
    </xf>
    <xf numFmtId="4" fontId="3" fillId="0" borderId="0" xfId="0" applyNumberFormat="1" applyFont="1" applyAlignment="1">
      <alignment horizontal="center" wrapText="1"/>
    </xf>
    <xf numFmtId="164" fontId="3" fillId="0" borderId="0" xfId="3" applyFont="1" applyBorder="1" applyAlignment="1">
      <alignment horizontal="center" wrapText="1"/>
    </xf>
    <xf numFmtId="4" fontId="3" fillId="0" borderId="1" xfId="0" applyNumberFormat="1" applyFont="1" applyBorder="1" applyAlignment="1">
      <alignment horizontal="center" wrapText="1"/>
    </xf>
    <xf numFmtId="164" fontId="3" fillId="0" borderId="1" xfId="3" applyFont="1" applyBorder="1" applyAlignment="1">
      <alignment horizontal="center" wrapText="1"/>
    </xf>
    <xf numFmtId="0" fontId="22" fillId="0" borderId="0" xfId="0" applyFont="1" applyAlignment="1">
      <alignment horizontal="center" vertical="center"/>
    </xf>
    <xf numFmtId="169" fontId="3" fillId="0" borderId="1" xfId="3" applyNumberFormat="1" applyFont="1" applyBorder="1"/>
    <xf numFmtId="169" fontId="3" fillId="0" borderId="0" xfId="3" applyNumberFormat="1" applyFont="1" applyBorder="1" applyAlignment="1">
      <alignment horizontal="center"/>
    </xf>
    <xf numFmtId="168" fontId="3" fillId="0" borderId="0" xfId="0" applyNumberFormat="1" applyFont="1" applyAlignment="1">
      <alignment horizontal="right"/>
    </xf>
    <xf numFmtId="169" fontId="3" fillId="0" borderId="0" xfId="3" applyNumberFormat="1" applyFont="1" applyBorder="1"/>
    <xf numFmtId="168" fontId="30" fillId="0" borderId="0" xfId="0" applyNumberFormat="1" applyFont="1" applyAlignment="1">
      <alignment horizontal="right"/>
    </xf>
    <xf numFmtId="0" fontId="3" fillId="0" borderId="1" xfId="0" applyFont="1" applyBorder="1"/>
    <xf numFmtId="0" fontId="3" fillId="0" borderId="1" xfId="0" applyFont="1" applyBorder="1" applyAlignment="1">
      <alignment horizontal="center" wrapText="1"/>
    </xf>
    <xf numFmtId="0" fontId="3" fillId="0" borderId="0" xfId="0" applyFont="1" applyAlignment="1">
      <alignment horizontal="center"/>
    </xf>
    <xf numFmtId="169" fontId="3" fillId="0" borderId="1" xfId="0" applyNumberFormat="1" applyFont="1" applyBorder="1"/>
    <xf numFmtId="169" fontId="3" fillId="0" borderId="0" xfId="0" applyNumberFormat="1" applyFont="1"/>
    <xf numFmtId="4" fontId="30" fillId="0" borderId="1" xfId="0" applyNumberFormat="1" applyFont="1" applyBorder="1" applyAlignment="1">
      <alignment horizontal="center"/>
    </xf>
    <xf numFmtId="0" fontId="21" fillId="0" borderId="0" xfId="0" applyFont="1" applyAlignment="1">
      <alignment horizontal="center"/>
    </xf>
    <xf numFmtId="167" fontId="3" fillId="0" borderId="0" xfId="0" applyNumberFormat="1" applyFont="1" applyAlignment="1">
      <alignment horizontal="right"/>
    </xf>
    <xf numFmtId="0" fontId="3" fillId="0" borderId="0" xfId="0" applyFont="1" applyAlignment="1">
      <alignment horizontal="left" indent="3"/>
    </xf>
    <xf numFmtId="0" fontId="5" fillId="0" borderId="0" xfId="0" quotePrefix="1" applyFont="1" applyAlignment="1">
      <alignment horizontal="center"/>
    </xf>
    <xf numFmtId="4" fontId="3" fillId="0" borderId="0" xfId="0" quotePrefix="1" applyNumberFormat="1" applyFont="1" applyAlignment="1">
      <alignment horizontal="center"/>
    </xf>
    <xf numFmtId="166" fontId="3" fillId="0" borderId="0" xfId="0" applyNumberFormat="1" applyFont="1"/>
    <xf numFmtId="3" fontId="3" fillId="0" borderId="1" xfId="0" applyNumberFormat="1" applyFont="1" applyBorder="1"/>
    <xf numFmtId="0" fontId="3" fillId="0" borderId="0" xfId="0" applyFont="1" applyAlignment="1">
      <alignment horizontal="left"/>
    </xf>
    <xf numFmtId="0" fontId="5" fillId="0" borderId="0" xfId="0" applyFont="1" applyAlignment="1">
      <alignment horizontal="right"/>
    </xf>
    <xf numFmtId="0" fontId="3" fillId="0" borderId="0" xfId="0" applyFont="1" applyAlignment="1">
      <alignment horizontal="right"/>
    </xf>
    <xf numFmtId="4" fontId="3" fillId="0" borderId="0" xfId="0" applyNumberFormat="1" applyFont="1" applyAlignment="1">
      <alignment horizontal="center"/>
    </xf>
    <xf numFmtId="0" fontId="3" fillId="0" borderId="0" xfId="0" quotePrefix="1" applyFont="1" applyAlignment="1">
      <alignment horizontal="center"/>
    </xf>
    <xf numFmtId="168" fontId="3" fillId="0" borderId="0" xfId="0" applyNumberFormat="1" applyFont="1"/>
    <xf numFmtId="16" fontId="3" fillId="0" borderId="0" xfId="0" quotePrefix="1" applyNumberFormat="1" applyFont="1" applyAlignment="1">
      <alignment horizontal="right"/>
    </xf>
    <xf numFmtId="0" fontId="3" fillId="0" borderId="0" xfId="0" quotePrefix="1" applyFont="1" applyAlignment="1">
      <alignment horizontal="right"/>
    </xf>
    <xf numFmtId="168" fontId="3" fillId="0" borderId="4" xfId="0" applyNumberFormat="1" applyFont="1" applyBorder="1" applyAlignment="1">
      <alignment horizontal="center"/>
    </xf>
    <xf numFmtId="165" fontId="3" fillId="0" borderId="0" xfId="1" applyFont="1" applyBorder="1" applyAlignment="1">
      <alignment horizontal="right"/>
    </xf>
    <xf numFmtId="168" fontId="3" fillId="0" borderId="3" xfId="0" applyNumberFormat="1" applyFont="1" applyBorder="1" applyAlignment="1">
      <alignment horizontal="center"/>
    </xf>
    <xf numFmtId="0" fontId="8" fillId="0" borderId="0" xfId="0" applyFont="1"/>
    <xf numFmtId="2" fontId="3" fillId="0" borderId="0" xfId="0" applyNumberFormat="1" applyFont="1"/>
    <xf numFmtId="165" fontId="3" fillId="0" borderId="0" xfId="1" applyFont="1" applyBorder="1"/>
    <xf numFmtId="165" fontId="3" fillId="0" borderId="0" xfId="1" applyFont="1" applyBorder="1" applyAlignment="1">
      <alignment horizontal="center"/>
    </xf>
    <xf numFmtId="4" fontId="3" fillId="0" borderId="0" xfId="0" applyNumberFormat="1" applyFont="1" applyAlignment="1">
      <alignment horizontal="left" indent="2"/>
    </xf>
    <xf numFmtId="38" fontId="3" fillId="0" borderId="0" xfId="0" quotePrefix="1" applyNumberFormat="1" applyFont="1"/>
    <xf numFmtId="0" fontId="3" fillId="0" borderId="1" xfId="0" applyFont="1" applyBorder="1" applyAlignment="1">
      <alignment horizontal="center"/>
    </xf>
    <xf numFmtId="0" fontId="31" fillId="0" borderId="0" xfId="0" applyFont="1"/>
    <xf numFmtId="0" fontId="15" fillId="0" borderId="0" xfId="0" applyFont="1"/>
    <xf numFmtId="167" fontId="15" fillId="0" borderId="0" xfId="0" applyNumberFormat="1" applyFont="1"/>
    <xf numFmtId="4" fontId="15" fillId="0" borderId="0" xfId="0" applyNumberFormat="1" applyFont="1"/>
    <xf numFmtId="169" fontId="15" fillId="0" borderId="0" xfId="0" applyNumberFormat="1" applyFont="1"/>
    <xf numFmtId="4" fontId="15" fillId="0" borderId="0" xfId="0" quotePrefix="1" applyNumberFormat="1" applyFont="1" applyAlignment="1">
      <alignment horizontal="center"/>
    </xf>
    <xf numFmtId="0" fontId="2" fillId="0" borderId="0" xfId="0" applyFont="1"/>
    <xf numFmtId="170" fontId="3" fillId="0" borderId="0" xfId="0" applyNumberFormat="1" applyFont="1" applyAlignment="1">
      <alignment horizontal="left"/>
    </xf>
    <xf numFmtId="0" fontId="9" fillId="0" borderId="0" xfId="0" applyFont="1"/>
    <xf numFmtId="4" fontId="9" fillId="0" borderId="0" xfId="0" applyNumberFormat="1" applyFont="1"/>
    <xf numFmtId="0" fontId="92" fillId="0" borderId="0" xfId="0" applyFont="1"/>
    <xf numFmtId="0" fontId="94" fillId="0" borderId="0" xfId="0" applyFont="1" applyAlignment="1" applyProtection="1">
      <alignment vertical="center"/>
      <protection hidden="1"/>
    </xf>
    <xf numFmtId="2" fontId="65" fillId="5" borderId="0" xfId="0" applyNumberFormat="1" applyFont="1" applyFill="1" applyAlignment="1" applyProtection="1">
      <alignment horizontal="left"/>
      <protection hidden="1"/>
    </xf>
    <xf numFmtId="0" fontId="3" fillId="0" borderId="0" xfId="0" applyFont="1" applyAlignment="1">
      <alignment horizontal="left" indent="2"/>
    </xf>
    <xf numFmtId="168" fontId="3" fillId="0" borderId="0" xfId="0" applyNumberFormat="1" applyFont="1" applyAlignment="1">
      <alignment horizontal="center"/>
    </xf>
    <xf numFmtId="4" fontId="3" fillId="0" borderId="1" xfId="0" quotePrefix="1" applyNumberFormat="1" applyFont="1" applyBorder="1" applyAlignment="1" applyProtection="1">
      <alignment horizontal="center"/>
      <protection hidden="1"/>
    </xf>
    <xf numFmtId="164" fontId="3" fillId="0" borderId="1" xfId="3" quotePrefix="1" applyFont="1" applyBorder="1" applyAlignment="1" applyProtection="1">
      <alignment horizontal="center"/>
      <protection hidden="1"/>
    </xf>
    <xf numFmtId="169" fontId="3" fillId="0" borderId="1" xfId="3" applyNumberFormat="1" applyFont="1" applyBorder="1" applyProtection="1">
      <protection hidden="1"/>
    </xf>
    <xf numFmtId="169" fontId="3" fillId="0" borderId="2" xfId="3" applyNumberFormat="1" applyFont="1" applyBorder="1" applyProtection="1">
      <protection hidden="1"/>
    </xf>
    <xf numFmtId="169" fontId="3" fillId="0" borderId="2" xfId="3" applyNumberFormat="1" applyFont="1" applyBorder="1" applyProtection="1"/>
    <xf numFmtId="169" fontId="3" fillId="0" borderId="0" xfId="3" applyNumberFormat="1" applyFont="1" applyBorder="1" applyProtection="1"/>
    <xf numFmtId="169" fontId="3" fillId="0" borderId="3" xfId="3" applyNumberFormat="1" applyFont="1" applyBorder="1" applyProtection="1"/>
    <xf numFmtId="0" fontId="48" fillId="0" borderId="0" xfId="5" applyFont="1" applyAlignment="1" applyProtection="1">
      <alignment horizontal="centerContinuous"/>
      <protection hidden="1"/>
    </xf>
    <xf numFmtId="0" fontId="85" fillId="0" borderId="24" xfId="6" applyFont="1" applyBorder="1"/>
    <xf numFmtId="0" fontId="86" fillId="9" borderId="0" xfId="6" applyFont="1" applyFill="1" applyAlignment="1">
      <alignment horizontal="center"/>
    </xf>
    <xf numFmtId="16" fontId="14" fillId="9" borderId="0" xfId="6" quotePrefix="1" applyNumberFormat="1" applyFont="1" applyFill="1" applyAlignment="1">
      <alignment horizontal="center"/>
    </xf>
    <xf numFmtId="0" fontId="83" fillId="9" borderId="0" xfId="6" applyFont="1" applyFill="1" applyAlignment="1">
      <alignment horizontal="center" wrapText="1"/>
    </xf>
    <xf numFmtId="0" fontId="14" fillId="9" borderId="1" xfId="6" applyFont="1" applyFill="1" applyBorder="1" applyAlignment="1">
      <alignment horizontal="center"/>
    </xf>
    <xf numFmtId="0" fontId="83" fillId="9" borderId="0" xfId="6" applyFont="1" applyFill="1"/>
    <xf numFmtId="16" fontId="83" fillId="9" borderId="0" xfId="6" quotePrefix="1" applyNumberFormat="1" applyFont="1" applyFill="1" applyAlignment="1">
      <alignment horizontal="center"/>
    </xf>
    <xf numFmtId="39" fontId="83" fillId="9" borderId="0" xfId="6" applyNumberFormat="1" applyFont="1" applyFill="1"/>
    <xf numFmtId="43" fontId="83" fillId="9" borderId="0" xfId="6" applyNumberFormat="1" applyFont="1" applyFill="1"/>
    <xf numFmtId="0" fontId="68" fillId="8" borderId="0" xfId="6" quotePrefix="1" applyFont="1" applyFill="1" applyAlignment="1">
      <alignment horizontal="right" vertical="center"/>
    </xf>
    <xf numFmtId="0" fontId="68" fillId="8" borderId="0" xfId="6" quotePrefix="1" applyFont="1" applyFill="1" applyAlignment="1">
      <alignment horizontal="right"/>
    </xf>
    <xf numFmtId="43" fontId="68" fillId="9" borderId="7" xfId="6" applyNumberFormat="1" applyFont="1" applyFill="1" applyBorder="1"/>
    <xf numFmtId="43" fontId="68" fillId="8" borderId="7" xfId="6" applyNumberFormat="1" applyFont="1" applyFill="1" applyBorder="1"/>
    <xf numFmtId="43" fontId="68" fillId="0" borderId="0" xfId="8" applyFont="1" applyFill="1" applyBorder="1"/>
    <xf numFmtId="43" fontId="15" fillId="0" borderId="0" xfId="0" applyNumberFormat="1" applyFont="1"/>
    <xf numFmtId="0" fontId="3" fillId="0" borderId="0" xfId="0" applyFont="1" applyAlignment="1" applyProtection="1">
      <alignment horizontal="center"/>
      <protection hidden="1"/>
    </xf>
    <xf numFmtId="49" fontId="95" fillId="0" borderId="0" xfId="6" applyNumberFormat="1" applyFont="1" applyAlignment="1">
      <alignment horizontal="center" vertical="center" wrapText="1"/>
    </xf>
    <xf numFmtId="171" fontId="0" fillId="10" borderId="7" xfId="2" applyNumberFormat="1" applyFont="1" applyFill="1" applyBorder="1" applyAlignment="1" applyProtection="1">
      <alignment vertical="center"/>
      <protection locked="0"/>
    </xf>
    <xf numFmtId="171" fontId="13" fillId="10" borderId="13" xfId="2" applyNumberFormat="1" applyFont="1" applyFill="1" applyBorder="1" applyProtection="1">
      <protection locked="0"/>
    </xf>
    <xf numFmtId="171" fontId="13" fillId="10" borderId="15" xfId="2" applyNumberFormat="1" applyFont="1" applyFill="1" applyBorder="1" applyAlignment="1" applyProtection="1">
      <alignment vertical="top"/>
      <protection locked="0"/>
    </xf>
    <xf numFmtId="171" fontId="0" fillId="10" borderId="7" xfId="2" applyNumberFormat="1" applyFont="1" applyFill="1" applyBorder="1" applyProtection="1">
      <protection locked="0"/>
    </xf>
    <xf numFmtId="171" fontId="37" fillId="10" borderId="7" xfId="2" applyNumberFormat="1" applyFont="1" applyFill="1" applyBorder="1" applyProtection="1">
      <protection locked="0"/>
    </xf>
    <xf numFmtId="0" fontId="57" fillId="10" borderId="1" xfId="0" applyFont="1" applyFill="1" applyBorder="1" applyAlignment="1" applyProtection="1">
      <alignment horizontal="center"/>
      <protection locked="0"/>
    </xf>
    <xf numFmtId="175" fontId="3" fillId="0" borderId="1" xfId="0" applyNumberFormat="1" applyFont="1" applyBorder="1" applyAlignment="1" applyProtection="1">
      <alignment horizontal="right"/>
      <protection hidden="1"/>
    </xf>
    <xf numFmtId="175" fontId="3" fillId="0" borderId="2" xfId="0" applyNumberFormat="1" applyFont="1" applyBorder="1" applyAlignment="1" applyProtection="1">
      <alignment horizontal="right"/>
      <protection hidden="1"/>
    </xf>
    <xf numFmtId="49" fontId="75" fillId="0" borderId="0" xfId="6" applyNumberFormat="1" applyFont="1" applyAlignment="1">
      <alignment horizontal="right"/>
    </xf>
    <xf numFmtId="43" fontId="83" fillId="0" borderId="7" xfId="6" applyNumberFormat="1" applyFont="1" applyBorder="1"/>
    <xf numFmtId="43" fontId="83" fillId="0" borderId="18" xfId="6" applyNumberFormat="1" applyFont="1" applyBorder="1"/>
    <xf numFmtId="43" fontId="75" fillId="0" borderId="18" xfId="6" applyNumberFormat="1" applyFont="1" applyBorder="1"/>
    <xf numFmtId="0" fontId="83" fillId="0" borderId="0" xfId="6" applyFont="1"/>
    <xf numFmtId="0" fontId="68" fillId="0" borderId="0" xfId="6" applyFont="1" applyAlignment="1">
      <alignment horizontal="center"/>
    </xf>
    <xf numFmtId="43" fontId="72" fillId="0" borderId="0" xfId="6" applyNumberFormat="1" applyFont="1" applyAlignment="1">
      <alignment horizontal="center"/>
    </xf>
    <xf numFmtId="13" fontId="70" fillId="0" borderId="0" xfId="6" applyNumberFormat="1" applyFont="1" applyAlignment="1">
      <alignment horizontal="center"/>
    </xf>
    <xf numFmtId="14" fontId="71" fillId="0" borderId="0" xfId="6" applyNumberFormat="1" applyFont="1" applyAlignment="1">
      <alignment horizontal="center"/>
    </xf>
    <xf numFmtId="0" fontId="14" fillId="0" borderId="0" xfId="0" applyFont="1" applyAlignment="1">
      <alignment horizontal="center"/>
    </xf>
    <xf numFmtId="0" fontId="73" fillId="0" borderId="0" xfId="6" applyFont="1" applyAlignment="1">
      <alignment horizontal="center"/>
    </xf>
    <xf numFmtId="0" fontId="74" fillId="0" borderId="0" xfId="6" applyFont="1"/>
    <xf numFmtId="0" fontId="69" fillId="0" borderId="0" xfId="6" applyFont="1"/>
    <xf numFmtId="10" fontId="14" fillId="0" borderId="0" xfId="6" applyNumberFormat="1" applyFont="1" applyAlignment="1">
      <alignment horizontal="center"/>
    </xf>
    <xf numFmtId="43" fontId="14" fillId="12" borderId="7" xfId="6" applyNumberFormat="1" applyFont="1" applyFill="1" applyBorder="1"/>
    <xf numFmtId="0" fontId="72" fillId="0" borderId="0" xfId="6" applyFont="1"/>
    <xf numFmtId="16" fontId="14" fillId="9" borderId="7" xfId="6" quotePrefix="1" applyNumberFormat="1" applyFont="1" applyFill="1" applyBorder="1" applyAlignment="1">
      <alignment horizontal="center"/>
    </xf>
    <xf numFmtId="39" fontId="83" fillId="9" borderId="7" xfId="6" applyNumberFormat="1" applyFont="1" applyFill="1" applyBorder="1"/>
    <xf numFmtId="172" fontId="69" fillId="0" borderId="0" xfId="6" applyNumberFormat="1" applyFont="1" applyAlignment="1">
      <alignment horizontal="center"/>
    </xf>
    <xf numFmtId="172" fontId="69" fillId="11" borderId="3" xfId="6" applyNumberFormat="1" applyFont="1" applyFill="1" applyBorder="1" applyAlignment="1">
      <alignment horizontal="center"/>
    </xf>
    <xf numFmtId="0" fontId="14" fillId="10" borderId="0" xfId="6" applyFont="1" applyFill="1" applyAlignment="1">
      <alignment horizontal="center" wrapText="1"/>
    </xf>
    <xf numFmtId="10" fontId="70" fillId="0" borderId="0" xfId="6" applyNumberFormat="1" applyFont="1" applyAlignment="1">
      <alignment horizontal="center"/>
    </xf>
    <xf numFmtId="0" fontId="70" fillId="13" borderId="0" xfId="6" applyFont="1" applyFill="1"/>
    <xf numFmtId="0" fontId="70" fillId="13" borderId="0" xfId="6" applyFont="1" applyFill="1" applyAlignment="1">
      <alignment horizontal="center"/>
    </xf>
    <xf numFmtId="43" fontId="14" fillId="13" borderId="7" xfId="6" applyNumberFormat="1" applyFont="1" applyFill="1" applyBorder="1"/>
    <xf numFmtId="43" fontId="68" fillId="12" borderId="7" xfId="6" applyNumberFormat="1" applyFont="1" applyFill="1" applyBorder="1"/>
    <xf numFmtId="43" fontId="68" fillId="13" borderId="7" xfId="6" applyNumberFormat="1" applyFont="1" applyFill="1" applyBorder="1"/>
    <xf numFmtId="0" fontId="14" fillId="13" borderId="0" xfId="0" applyFont="1" applyFill="1"/>
    <xf numFmtId="0" fontId="14" fillId="13" borderId="0" xfId="0" applyFont="1" applyFill="1" applyAlignment="1">
      <alignment horizontal="center"/>
    </xf>
    <xf numFmtId="38" fontId="3" fillId="0" borderId="1" xfId="0" applyNumberFormat="1" applyFont="1" applyBorder="1"/>
    <xf numFmtId="38" fontId="3" fillId="0" borderId="0" xfId="0" applyNumberFormat="1" applyFont="1"/>
    <xf numFmtId="4" fontId="31" fillId="10" borderId="2" xfId="0" applyNumberFormat="1" applyFont="1" applyFill="1" applyBorder="1" applyAlignment="1" applyProtection="1">
      <alignment horizontal="center"/>
      <protection locked="0"/>
    </xf>
    <xf numFmtId="39" fontId="83" fillId="0" borderId="7" xfId="6" applyNumberFormat="1" applyFont="1" applyBorder="1"/>
    <xf numFmtId="16" fontId="83" fillId="0" borderId="0" xfId="6" quotePrefix="1" applyNumberFormat="1" applyFont="1" applyAlignment="1">
      <alignment horizontal="center"/>
    </xf>
    <xf numFmtId="39" fontId="83" fillId="0" borderId="0" xfId="6" applyNumberFormat="1" applyFont="1"/>
    <xf numFmtId="0" fontId="14" fillId="0" borderId="0" xfId="6" quotePrefix="1" applyFont="1"/>
    <xf numFmtId="43" fontId="78" fillId="0" borderId="7" xfId="6" applyNumberFormat="1" applyFont="1" applyBorder="1"/>
    <xf numFmtId="0" fontId="14" fillId="0" borderId="7" xfId="6" applyFont="1" applyBorder="1"/>
    <xf numFmtId="0" fontId="48" fillId="0" borderId="0" xfId="5" applyFont="1" applyAlignment="1" applyProtection="1">
      <alignment horizontal="center"/>
      <protection hidden="1"/>
    </xf>
    <xf numFmtId="0" fontId="49" fillId="0" borderId="0" xfId="5" quotePrefix="1" applyFont="1" applyAlignment="1" applyProtection="1">
      <alignment horizontal="center"/>
      <protection hidden="1"/>
    </xf>
    <xf numFmtId="173" fontId="49" fillId="0" borderId="0" xfId="5" quotePrefix="1" applyNumberFormat="1" applyFont="1" applyAlignment="1" applyProtection="1">
      <alignment horizontal="center"/>
      <protection hidden="1"/>
    </xf>
    <xf numFmtId="3" fontId="3" fillId="0" borderId="0" xfId="0" quotePrefix="1" applyNumberFormat="1" applyFont="1" applyAlignment="1">
      <alignment horizontal="center"/>
    </xf>
    <xf numFmtId="0" fontId="5" fillId="0" borderId="0" xfId="0" applyFont="1" applyAlignment="1">
      <alignment horizontal="left" vertical="center" wrapText="1" indent="3"/>
    </xf>
    <xf numFmtId="2" fontId="3" fillId="0" borderId="0" xfId="0" applyNumberFormat="1" applyFont="1" applyAlignment="1">
      <alignment horizontal="center"/>
    </xf>
    <xf numFmtId="173" fontId="49" fillId="14" borderId="0" xfId="5" applyNumberFormat="1" applyFont="1" applyFill="1" applyAlignment="1" applyProtection="1">
      <alignment horizontal="center"/>
      <protection hidden="1"/>
    </xf>
    <xf numFmtId="0" fontId="49" fillId="14" borderId="0" xfId="5" applyFont="1" applyFill="1" applyProtection="1">
      <protection hidden="1"/>
    </xf>
    <xf numFmtId="0" fontId="53" fillId="14" borderId="0" xfId="5" applyFont="1" applyFill="1" applyProtection="1">
      <protection hidden="1"/>
    </xf>
    <xf numFmtId="166" fontId="30" fillId="0" borderId="0" xfId="0" applyNumberFormat="1" applyFont="1" applyAlignment="1">
      <alignment horizontal="left" indent="2"/>
    </xf>
    <xf numFmtId="0" fontId="15" fillId="0" borderId="0" xfId="0" applyFont="1" applyAlignment="1">
      <alignment horizontal="left"/>
    </xf>
    <xf numFmtId="7" fontId="5" fillId="0" borderId="0" xfId="0" applyNumberFormat="1" applyFont="1" applyAlignment="1">
      <alignment horizontal="center"/>
    </xf>
    <xf numFmtId="0" fontId="5" fillId="0" borderId="0" xfId="0" applyFont="1" applyAlignment="1">
      <alignment horizontal="left"/>
    </xf>
    <xf numFmtId="168" fontId="5" fillId="0" borderId="0" xfId="0" applyNumberFormat="1" applyFont="1" applyAlignment="1">
      <alignment horizontal="left"/>
    </xf>
    <xf numFmtId="0" fontId="5" fillId="0" borderId="6" xfId="0" applyFont="1" applyBorder="1" applyAlignment="1">
      <alignment vertical="center" wrapText="1"/>
    </xf>
    <xf numFmtId="169" fontId="3" fillId="0" borderId="0" xfId="0" applyNumberFormat="1" applyFont="1" applyAlignment="1" applyProtection="1">
      <alignment horizontal="center"/>
      <protection hidden="1"/>
    </xf>
    <xf numFmtId="0" fontId="10" fillId="0" borderId="0" xfId="0" applyFont="1" applyAlignment="1">
      <alignment horizontal="center" wrapText="1"/>
    </xf>
    <xf numFmtId="169" fontId="10" fillId="0" borderId="0" xfId="3" applyNumberFormat="1" applyFont="1" applyBorder="1" applyProtection="1">
      <protection hidden="1"/>
    </xf>
    <xf numFmtId="10" fontId="10" fillId="0" borderId="0" xfId="3" applyNumberFormat="1" applyFont="1" applyBorder="1" applyProtection="1">
      <protection hidden="1"/>
    </xf>
    <xf numFmtId="10" fontId="10" fillId="0" borderId="6" xfId="3" applyNumberFormat="1" applyFont="1" applyBorder="1" applyProtection="1">
      <protection hidden="1"/>
    </xf>
    <xf numFmtId="0" fontId="5" fillId="0" borderId="0" xfId="0" applyFont="1" applyAlignment="1">
      <alignment vertical="center" wrapText="1"/>
    </xf>
    <xf numFmtId="169" fontId="3" fillId="0" borderId="2" xfId="0" applyNumberFormat="1" applyFont="1" applyBorder="1"/>
    <xf numFmtId="169" fontId="3" fillId="0" borderId="1" xfId="3" applyNumberFormat="1" applyFont="1" applyBorder="1" applyAlignment="1">
      <alignment horizontal="right"/>
    </xf>
    <xf numFmtId="0" fontId="3" fillId="6" borderId="0" xfId="0" applyFont="1" applyFill="1" applyAlignment="1">
      <alignment horizontal="center"/>
    </xf>
    <xf numFmtId="0" fontId="3" fillId="6" borderId="0" xfId="0" applyFont="1" applyFill="1"/>
    <xf numFmtId="169" fontId="3" fillId="2" borderId="1" xfId="3" applyNumberFormat="1" applyFont="1" applyFill="1" applyBorder="1" applyAlignment="1">
      <alignment horizontal="right"/>
    </xf>
    <xf numFmtId="169" fontId="3" fillId="0" borderId="25" xfId="0" applyNumberFormat="1" applyFont="1" applyBorder="1" applyAlignment="1">
      <alignment horizontal="right"/>
    </xf>
    <xf numFmtId="169" fontId="3" fillId="0" borderId="0" xfId="0" applyNumberFormat="1" applyFont="1" applyAlignment="1">
      <alignment horizontal="right"/>
    </xf>
    <xf numFmtId="169" fontId="3" fillId="0" borderId="5" xfId="0" applyNumberFormat="1" applyFont="1" applyBorder="1"/>
    <xf numFmtId="49" fontId="3" fillId="0" borderId="1" xfId="3" applyNumberFormat="1" applyFont="1" applyBorder="1"/>
    <xf numFmtId="0" fontId="31" fillId="2" borderId="1" xfId="0" applyFont="1" applyFill="1" applyBorder="1"/>
    <xf numFmtId="167" fontId="3" fillId="0" borderId="0" xfId="0" applyNumberFormat="1" applyFont="1" applyAlignment="1" applyProtection="1">
      <alignment horizontal="center"/>
      <protection hidden="1"/>
    </xf>
    <xf numFmtId="0" fontId="10" fillId="0" borderId="1" xfId="0" applyFont="1" applyBorder="1" applyAlignment="1">
      <alignment horizontal="center" wrapText="1"/>
    </xf>
    <xf numFmtId="169" fontId="10" fillId="0" borderId="1" xfId="3" applyNumberFormat="1" applyFont="1" applyBorder="1"/>
    <xf numFmtId="169" fontId="3" fillId="0" borderId="6" xfId="3" applyNumberFormat="1" applyFont="1" applyBorder="1"/>
    <xf numFmtId="169" fontId="3" fillId="0" borderId="3" xfId="3" applyNumberFormat="1" applyFont="1" applyBorder="1"/>
    <xf numFmtId="4" fontId="6" fillId="0" borderId="0" xfId="0" applyNumberFormat="1" applyFont="1" applyAlignment="1">
      <alignment horizontal="left"/>
    </xf>
    <xf numFmtId="168" fontId="3" fillId="0" borderId="0" xfId="0" applyNumberFormat="1" applyFont="1" applyAlignment="1">
      <alignment horizontal="center"/>
    </xf>
    <xf numFmtId="0" fontId="15" fillId="0" borderId="0" xfId="0" applyFont="1" applyAlignment="1">
      <alignment horizontal="left"/>
    </xf>
    <xf numFmtId="0" fontId="15" fillId="0" borderId="0" xfId="0" applyFont="1" applyAlignment="1">
      <alignment horizontal="left" wrapText="1"/>
    </xf>
    <xf numFmtId="2" fontId="18" fillId="0" borderId="0" xfId="0" applyNumberFormat="1" applyFont="1" applyAlignment="1">
      <alignment horizontal="left" indent="6"/>
    </xf>
    <xf numFmtId="0" fontId="3" fillId="0" borderId="0" xfId="0" applyFont="1" applyAlignment="1">
      <alignment horizontal="center"/>
    </xf>
    <xf numFmtId="0" fontId="3" fillId="0" borderId="1" xfId="0" applyFont="1" applyBorder="1" applyAlignment="1">
      <alignment horizontal="center"/>
    </xf>
    <xf numFmtId="0" fontId="31" fillId="0" borderId="1" xfId="0" applyFont="1" applyBorder="1" applyAlignment="1">
      <alignment horizontal="center"/>
    </xf>
    <xf numFmtId="0" fontId="3" fillId="0" borderId="1" xfId="0" applyFont="1" applyBorder="1" applyAlignment="1">
      <alignment horizontal="center" wrapText="1"/>
    </xf>
    <xf numFmtId="0" fontId="3" fillId="0" borderId="0" xfId="0" applyFont="1" applyAlignment="1">
      <alignment horizontal="left"/>
    </xf>
    <xf numFmtId="3" fontId="3" fillId="0" borderId="0" xfId="0" quotePrefix="1" applyNumberFormat="1" applyFont="1" applyAlignment="1">
      <alignment horizontal="center"/>
    </xf>
    <xf numFmtId="0" fontId="3" fillId="0" borderId="0" xfId="0" applyFont="1" applyAlignment="1">
      <alignment horizontal="right"/>
    </xf>
    <xf numFmtId="0" fontId="31" fillId="0" borderId="0" xfId="0" applyFont="1" applyAlignment="1">
      <alignment horizontal="right"/>
    </xf>
    <xf numFmtId="0" fontId="31" fillId="2" borderId="1" xfId="0" applyFont="1" applyFill="1" applyBorder="1" applyAlignment="1" applyProtection="1">
      <alignment horizontal="center"/>
      <protection locked="0"/>
    </xf>
    <xf numFmtId="167" fontId="3" fillId="0" borderId="0" xfId="0" applyNumberFormat="1" applyFont="1" applyAlignment="1" applyProtection="1">
      <alignment horizontal="center"/>
      <protection hidden="1"/>
    </xf>
    <xf numFmtId="0" fontId="3" fillId="0" borderId="0" xfId="0" applyFont="1" applyAlignment="1">
      <alignment horizontal="left" indent="3"/>
    </xf>
    <xf numFmtId="0" fontId="31" fillId="2" borderId="2" xfId="0" applyFont="1" applyFill="1" applyBorder="1" applyAlignment="1">
      <alignment horizontal="center"/>
    </xf>
    <xf numFmtId="0" fontId="3" fillId="0" borderId="1" xfId="0" applyFont="1" applyBorder="1" applyAlignment="1">
      <alignment horizontal="left" indent="3"/>
    </xf>
    <xf numFmtId="4" fontId="6" fillId="0" borderId="0" xfId="0" applyNumberFormat="1" applyFont="1" applyAlignment="1">
      <alignment horizontal="left" indent="1"/>
    </xf>
    <xf numFmtId="166" fontId="30" fillId="0" borderId="0" xfId="0" applyNumberFormat="1" applyFont="1" applyAlignment="1">
      <alignment horizontal="left" indent="2"/>
    </xf>
    <xf numFmtId="4" fontId="3" fillId="0" borderId="0" xfId="0" quotePrefix="1" applyNumberFormat="1" applyFont="1" applyAlignment="1">
      <alignment horizontal="center"/>
    </xf>
    <xf numFmtId="165" fontId="3" fillId="0" borderId="22" xfId="1" applyFont="1" applyBorder="1" applyAlignment="1">
      <alignment horizontal="right"/>
    </xf>
    <xf numFmtId="165" fontId="3" fillId="0" borderId="0" xfId="1" applyFont="1" applyBorder="1" applyAlignment="1">
      <alignment horizontal="right"/>
    </xf>
    <xf numFmtId="0" fontId="20" fillId="0" borderId="0" xfId="0" applyFont="1" applyAlignment="1">
      <alignment horizontal="left" wrapText="1"/>
    </xf>
    <xf numFmtId="0" fontId="16" fillId="0" borderId="0" xfId="0" applyFont="1" applyAlignment="1">
      <alignment horizontal="left" wrapText="1"/>
    </xf>
    <xf numFmtId="0" fontId="31" fillId="2" borderId="2" xfId="0" applyFont="1" applyFill="1" applyBorder="1" applyAlignment="1" applyProtection="1">
      <alignment horizontal="center"/>
      <protection locked="0"/>
    </xf>
    <xf numFmtId="0" fontId="3" fillId="0" borderId="6" xfId="0" applyFont="1" applyBorder="1" applyAlignment="1">
      <alignment horizontal="left"/>
    </xf>
    <xf numFmtId="0" fontId="3" fillId="0" borderId="0" xfId="0" applyFont="1" applyAlignment="1">
      <alignment horizontal="left" wrapText="1"/>
    </xf>
    <xf numFmtId="0" fontId="3" fillId="0" borderId="0" xfId="0" applyFont="1" applyAlignment="1">
      <alignment horizontal="left" wrapText="1" indent="2"/>
    </xf>
    <xf numFmtId="0" fontId="3" fillId="0" borderId="0" xfId="0" applyFont="1" applyAlignment="1">
      <alignment horizontal="left" indent="2"/>
    </xf>
    <xf numFmtId="167" fontId="3" fillId="0" borderId="0" xfId="0" applyNumberFormat="1" applyFont="1" applyAlignment="1">
      <alignment horizontal="right" wrapText="1"/>
    </xf>
    <xf numFmtId="0" fontId="6" fillId="0" borderId="0" xfId="0" applyFont="1" applyAlignment="1">
      <alignment horizontal="right"/>
    </xf>
    <xf numFmtId="0" fontId="6" fillId="0" borderId="0" xfId="0" applyFont="1" applyAlignment="1">
      <alignment horizontal="center"/>
    </xf>
    <xf numFmtId="0" fontId="3" fillId="0" borderId="6" xfId="0" applyFont="1" applyBorder="1" applyAlignment="1">
      <alignment horizontal="left" indent="3"/>
    </xf>
    <xf numFmtId="0" fontId="3" fillId="0" borderId="1" xfId="0" applyFont="1" applyBorder="1" applyAlignment="1">
      <alignment horizontal="left"/>
    </xf>
    <xf numFmtId="2" fontId="7" fillId="0" borderId="1" xfId="0" applyNumberFormat="1" applyFont="1" applyBorder="1" applyAlignment="1">
      <alignment horizontal="center"/>
    </xf>
    <xf numFmtId="0" fontId="5" fillId="0" borderId="6" xfId="0" applyFont="1" applyBorder="1" applyAlignment="1">
      <alignment horizontal="left" vertical="center" wrapText="1" indent="3"/>
    </xf>
    <xf numFmtId="0" fontId="5" fillId="0" borderId="0" xfId="0" applyFont="1" applyAlignment="1">
      <alignment horizontal="left" vertical="center" wrapText="1" indent="3"/>
    </xf>
    <xf numFmtId="4" fontId="31" fillId="2" borderId="1" xfId="0" applyNumberFormat="1" applyFont="1" applyFill="1" applyBorder="1" applyAlignment="1">
      <alignment horizontal="center" vertical="center" wrapText="1"/>
    </xf>
    <xf numFmtId="4" fontId="31" fillId="2" borderId="2" xfId="0" applyNumberFormat="1" applyFont="1" applyFill="1" applyBorder="1" applyAlignment="1">
      <alignment horizontal="center" vertical="center" wrapText="1"/>
    </xf>
    <xf numFmtId="4" fontId="31" fillId="2" borderId="26" xfId="0" applyNumberFormat="1" applyFont="1" applyFill="1" applyBorder="1" applyAlignment="1">
      <alignment horizontal="center" vertical="center" wrapText="1"/>
    </xf>
    <xf numFmtId="2" fontId="3" fillId="0" borderId="27" xfId="0" applyNumberFormat="1" applyFont="1" applyBorder="1" applyAlignment="1">
      <alignment horizontal="center"/>
    </xf>
    <xf numFmtId="0" fontId="3" fillId="0" borderId="1" xfId="0" applyFont="1" applyBorder="1" applyAlignment="1">
      <alignment horizontal="left" wrapText="1"/>
    </xf>
    <xf numFmtId="4" fontId="31" fillId="10" borderId="2" xfId="0" applyNumberFormat="1" applyFont="1" applyFill="1" applyBorder="1" applyAlignment="1" applyProtection="1">
      <alignment horizontal="center"/>
      <protection locked="0"/>
    </xf>
    <xf numFmtId="2" fontId="3" fillId="0" borderId="0" xfId="0" applyNumberFormat="1" applyFont="1" applyAlignment="1">
      <alignment horizontal="center"/>
    </xf>
    <xf numFmtId="0" fontId="3" fillId="0" borderId="0" xfId="0" applyFont="1" applyAlignment="1">
      <alignment horizontal="left" wrapText="1" indent="3"/>
    </xf>
    <xf numFmtId="4" fontId="31" fillId="10" borderId="2" xfId="0" applyNumberFormat="1" applyFont="1" applyFill="1" applyBorder="1" applyAlignment="1" applyProtection="1">
      <alignment horizontal="center" wrapText="1"/>
      <protection locked="0"/>
    </xf>
    <xf numFmtId="2" fontId="31" fillId="0" borderId="1" xfId="0" applyNumberFormat="1" applyFont="1" applyBorder="1" applyAlignment="1">
      <alignment horizontal="center" wrapText="1"/>
    </xf>
    <xf numFmtId="2" fontId="31" fillId="0" borderId="1" xfId="0" applyNumberFormat="1" applyFont="1" applyBorder="1" applyAlignment="1">
      <alignment horizontal="center"/>
    </xf>
    <xf numFmtId="39" fontId="93" fillId="0" borderId="2" xfId="0" applyNumberFormat="1" applyFont="1" applyBorder="1" applyAlignment="1" applyProtection="1">
      <alignment horizontal="center"/>
      <protection hidden="1"/>
    </xf>
    <xf numFmtId="167" fontId="3" fillId="0" borderId="8" xfId="0" applyNumberFormat="1" applyFont="1" applyBorder="1" applyAlignment="1" applyProtection="1">
      <alignment horizontal="center"/>
      <protection hidden="1"/>
    </xf>
    <xf numFmtId="167" fontId="3" fillId="0" borderId="9" xfId="0" applyNumberFormat="1" applyFont="1" applyBorder="1" applyAlignment="1" applyProtection="1">
      <alignment horizontal="center"/>
      <protection hidden="1"/>
    </xf>
    <xf numFmtId="0" fontId="3" fillId="0" borderId="6" xfId="0" applyFont="1" applyBorder="1" applyAlignment="1">
      <alignment horizontal="right"/>
    </xf>
    <xf numFmtId="4" fontId="93" fillId="0" borderId="1" xfId="0" applyNumberFormat="1" applyFont="1" applyBorder="1" applyAlignment="1" applyProtection="1">
      <alignment horizontal="center"/>
      <protection hidden="1"/>
    </xf>
    <xf numFmtId="2" fontId="3" fillId="0" borderId="0" xfId="0" applyNumberFormat="1" applyFont="1" applyAlignment="1" applyProtection="1">
      <alignment horizontal="center"/>
      <protection hidden="1"/>
    </xf>
    <xf numFmtId="0" fontId="11" fillId="0" borderId="22" xfId="0" applyFont="1" applyBorder="1" applyAlignment="1">
      <alignment horizontal="left"/>
    </xf>
    <xf numFmtId="0" fontId="11" fillId="0" borderId="0" xfId="0" applyFont="1" applyAlignment="1">
      <alignment horizontal="left"/>
    </xf>
    <xf numFmtId="4" fontId="3" fillId="0" borderId="0" xfId="0" applyNumberFormat="1" applyFont="1" applyAlignment="1">
      <alignment horizontal="left" indent="2"/>
    </xf>
    <xf numFmtId="4" fontId="11" fillId="0" borderId="0" xfId="0" applyNumberFormat="1" applyFont="1" applyAlignment="1">
      <alignment horizontal="left"/>
    </xf>
    <xf numFmtId="4" fontId="3" fillId="0" borderId="0" xfId="0" applyNumberFormat="1" applyFont="1" applyAlignment="1">
      <alignment horizontal="left"/>
    </xf>
    <xf numFmtId="0" fontId="3" fillId="0" borderId="1" xfId="0" quotePrefix="1" applyFont="1" applyBorder="1" applyAlignment="1">
      <alignment horizontal="center"/>
    </xf>
    <xf numFmtId="0" fontId="93" fillId="0" borderId="1" xfId="0" quotePrefix="1" applyFont="1" applyBorder="1" applyAlignment="1" applyProtection="1">
      <alignment horizontal="center"/>
      <protection hidden="1"/>
    </xf>
    <xf numFmtId="167" fontId="3" fillId="0" borderId="1" xfId="0" quotePrefix="1" applyNumberFormat="1" applyFont="1" applyBorder="1" applyAlignment="1">
      <alignment horizontal="center"/>
    </xf>
    <xf numFmtId="0" fontId="16" fillId="0" borderId="0" xfId="0" applyFont="1" applyAlignment="1">
      <alignment horizontal="left"/>
    </xf>
    <xf numFmtId="0" fontId="5" fillId="0" borderId="0" xfId="0" applyFont="1" applyAlignment="1">
      <alignment horizontal="center"/>
    </xf>
    <xf numFmtId="7" fontId="5" fillId="0" borderId="0" xfId="0" applyNumberFormat="1" applyFont="1" applyAlignment="1">
      <alignment horizontal="center"/>
    </xf>
    <xf numFmtId="0" fontId="5" fillId="0" borderId="0" xfId="0" applyFont="1" applyAlignment="1">
      <alignment horizontal="left"/>
    </xf>
    <xf numFmtId="168" fontId="5" fillId="0" borderId="0" xfId="0" applyNumberFormat="1" applyFont="1" applyAlignment="1">
      <alignment horizontal="left"/>
    </xf>
    <xf numFmtId="167" fontId="3" fillId="0" borderId="0" xfId="0" applyNumberFormat="1" applyFont="1" applyAlignment="1">
      <alignment horizontal="center" wrapText="1"/>
    </xf>
    <xf numFmtId="0" fontId="93" fillId="0" borderId="1" xfId="0" applyFont="1" applyBorder="1" applyAlignment="1" applyProtection="1">
      <alignment horizontal="center" wrapText="1"/>
      <protection hidden="1"/>
    </xf>
    <xf numFmtId="167" fontId="3" fillId="0" borderId="1" xfId="0" applyNumberFormat="1" applyFont="1" applyBorder="1" applyAlignment="1">
      <alignment horizontal="center" wrapText="1"/>
    </xf>
    <xf numFmtId="0" fontId="27" fillId="0" borderId="0" xfId="0" applyFont="1" applyAlignment="1" applyProtection="1">
      <alignment horizontal="center"/>
      <protection hidden="1"/>
    </xf>
    <xf numFmtId="0" fontId="43" fillId="5" borderId="19" xfId="0" applyFont="1" applyFill="1" applyBorder="1" applyAlignment="1" applyProtection="1">
      <alignment horizontal="center"/>
      <protection hidden="1"/>
    </xf>
    <xf numFmtId="0" fontId="43" fillId="5" borderId="20" xfId="0" applyFont="1" applyFill="1" applyBorder="1" applyAlignment="1" applyProtection="1">
      <alignment horizontal="center"/>
      <protection hidden="1"/>
    </xf>
    <xf numFmtId="0" fontId="43" fillId="5" borderId="21" xfId="0" applyFont="1" applyFill="1" applyBorder="1" applyAlignment="1" applyProtection="1">
      <alignment horizontal="center"/>
      <protection hidden="1"/>
    </xf>
    <xf numFmtId="0" fontId="46" fillId="0" borderId="0" xfId="0" applyFont="1" applyAlignment="1" applyProtection="1">
      <alignment horizontal="center"/>
      <protection hidden="1"/>
    </xf>
    <xf numFmtId="0" fontId="64" fillId="0" borderId="0" xfId="0" applyFont="1" applyAlignment="1" applyProtection="1">
      <alignment horizontal="right" vertical="center"/>
      <protection hidden="1"/>
    </xf>
    <xf numFmtId="0" fontId="63" fillId="0" borderId="0" xfId="0" applyFont="1" applyAlignment="1" applyProtection="1">
      <alignment horizontal="center"/>
      <protection hidden="1"/>
    </xf>
    <xf numFmtId="0" fontId="28" fillId="0" borderId="0" xfId="0" applyFont="1" applyAlignment="1" applyProtection="1">
      <alignment horizontal="center"/>
      <protection hidden="1"/>
    </xf>
    <xf numFmtId="0" fontId="96" fillId="2" borderId="8" xfId="0" applyFont="1" applyFill="1" applyBorder="1" applyAlignment="1" applyProtection="1">
      <alignment horizontal="left"/>
      <protection hidden="1"/>
    </xf>
    <xf numFmtId="0" fontId="96" fillId="2" borderId="9" xfId="0" applyFont="1" applyFill="1" applyBorder="1" applyAlignment="1" applyProtection="1">
      <alignment horizontal="left"/>
      <protection hidden="1"/>
    </xf>
    <xf numFmtId="43" fontId="75" fillId="0" borderId="0" xfId="6" applyNumberFormat="1" applyFont="1" applyAlignment="1">
      <alignment horizontal="center"/>
    </xf>
    <xf numFmtId="49" fontId="68" fillId="8" borderId="0" xfId="6" applyNumberFormat="1" applyFont="1" applyFill="1" applyAlignment="1">
      <alignment horizontal="right"/>
    </xf>
    <xf numFmtId="49" fontId="68" fillId="8" borderId="13" xfId="6" applyNumberFormat="1" applyFont="1" applyFill="1" applyBorder="1" applyAlignment="1">
      <alignment horizontal="right"/>
    </xf>
  </cellXfs>
  <cellStyles count="10">
    <cellStyle name="Comma 2" xfId="8" xr:uid="{00000000-0005-0000-0000-000001000000}"/>
    <cellStyle name="Comma 3" xfId="9" xr:uid="{00000000-0005-0000-0000-000002000000}"/>
    <cellStyle name="Comma_charter school revenue frame" xfId="1" xr:uid="{00000000-0005-0000-0000-000003000000}"/>
    <cellStyle name="Currency" xfId="2" builtinId="4"/>
    <cellStyle name="Currency_charter school revenue frame" xfId="3" xr:uid="{00000000-0005-0000-0000-000005000000}"/>
    <cellStyle name="Normal" xfId="0" builtinId="0"/>
    <cellStyle name="Normal 2" xfId="4" xr:uid="{00000000-0005-0000-0000-000007000000}"/>
    <cellStyle name="Normal 3" xfId="5" xr:uid="{00000000-0005-0000-0000-000008000000}"/>
    <cellStyle name="Normal 4" xfId="6" xr:uid="{00000000-0005-0000-0000-000009000000}"/>
    <cellStyle name="Normal 5" xfId="7" xr:uid="{00000000-0005-0000-0000-00000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FFCC"/>
      <color rgb="FFB3F1FF"/>
      <color rgb="FF66FFFF"/>
      <color rgb="FF0000FF"/>
      <color rgb="FFFFFFCC"/>
      <color rgb="FFCC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63853</xdr:colOff>
      <xdr:row>1</xdr:row>
      <xdr:rowOff>397253</xdr:rowOff>
    </xdr:from>
    <xdr:to>
      <xdr:col>8</xdr:col>
      <xdr:colOff>318600</xdr:colOff>
      <xdr:row>1</xdr:row>
      <xdr:rowOff>442972</xdr:rowOff>
    </xdr:to>
    <xdr:sp macro="" textlink="">
      <xdr:nvSpPr>
        <xdr:cNvPr id="2" name="Right Arrow 5">
          <a:extLst>
            <a:ext uri="{FF2B5EF4-FFF2-40B4-BE49-F238E27FC236}">
              <a16:creationId xmlns:a16="http://schemas.microsoft.com/office/drawing/2014/main" id="{C5A8A756-C261-4F5F-9F9D-5A3068DAA7BA}"/>
            </a:ext>
          </a:extLst>
        </xdr:cNvPr>
        <xdr:cNvSpPr/>
      </xdr:nvSpPr>
      <xdr:spPr>
        <a:xfrm>
          <a:off x="9108312" y="594618"/>
          <a:ext cx="254747" cy="45719"/>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34325</xdr:colOff>
      <xdr:row>27</xdr:row>
      <xdr:rowOff>128716</xdr:rowOff>
    </xdr:from>
    <xdr:to>
      <xdr:col>8</xdr:col>
      <xdr:colOff>339710</xdr:colOff>
      <xdr:row>28</xdr:row>
      <xdr:rowOff>254150</xdr:rowOff>
    </xdr:to>
    <xdr:cxnSp macro="">
      <xdr:nvCxnSpPr>
        <xdr:cNvPr id="3" name="Elbow Connector 8">
          <a:extLst>
            <a:ext uri="{FF2B5EF4-FFF2-40B4-BE49-F238E27FC236}">
              <a16:creationId xmlns:a16="http://schemas.microsoft.com/office/drawing/2014/main" id="{0DA24219-78A9-4F45-BCED-0F244924F4BC}"/>
            </a:ext>
          </a:extLst>
        </xdr:cNvPr>
        <xdr:cNvCxnSpPr/>
      </xdr:nvCxnSpPr>
      <xdr:spPr>
        <a:xfrm>
          <a:off x="4771082" y="5697838"/>
          <a:ext cx="4613087" cy="382866"/>
        </a:xfrm>
        <a:prstGeom prst="bentConnector3">
          <a:avLst>
            <a:gd name="adj1" fmla="val 29555"/>
          </a:avLst>
        </a:prstGeom>
        <a:ln>
          <a:solidFill>
            <a:srgbClr val="FF0000"/>
          </a:solidFill>
          <a:headEnd type="triangle"/>
          <a:tailEnd type="triangle"/>
        </a:ln>
      </xdr:spPr>
      <xdr:style>
        <a:lnRef idx="3">
          <a:schemeClr val="accent2"/>
        </a:lnRef>
        <a:fillRef idx="0">
          <a:schemeClr val="accent2"/>
        </a:fillRef>
        <a:effectRef idx="2">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fldoe.org/USERDATA/EXCEL/FTE97E3.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SUMMARY"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00046392\Downloads\2018-2019-Charter-School-Revenue-Estimate-Worksheet%2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udcb1\Budget%20Data\99-00\Charter%20Schools\Membership\180-OctActualFebProj.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2018-19\Annual%20Budgets\Annual%20Budget%20Template\budget%20template%20DOE.xlsm"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C:\Users\P00106697\Downloads\2324CSREWConf.xls" TargetMode="External"/><Relationship Id="rId1" Type="http://schemas.openxmlformats.org/officeDocument/2006/relationships/externalLinkPath" Target="file:///C:\Users\P00106697\Downloads\2324CSREWConf.xls"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Z:\2023-24\Annual%20Budgets\2324CSREWConf.xls" TargetMode="External"/><Relationship Id="rId1" Type="http://schemas.openxmlformats.org/officeDocument/2006/relationships/externalLinkPath" Target="file:///Z:\2023-24\Annual%20Budgets\2324CSREWCon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Budget (CY) (DISTRIBUTION)"/>
      <sheetName val="Salary Lookup"/>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FB"/>
      <sheetName val="Narrative"/>
      <sheetName val="Cash Flow Startup"/>
      <sheetName val="Cash Flow 1"/>
      <sheetName val="Cash Flow 2"/>
      <sheetName val="Cash Flow 3"/>
      <sheetName val="Cash Flow 4"/>
      <sheetName val="Cash Flow 5"/>
      <sheetName val="Staffing"/>
      <sheetName val="Enroll"/>
      <sheetName val="Misc"/>
      <sheetName val="Food Svc"/>
      <sheetName val="Computers"/>
      <sheetName val="PIVOT (COUNT)"/>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 charter school calculator"/>
      <sheetName val=" Detail 2018-19 1st FEFP"/>
      <sheetName val="111-112-113 ADDITIONAL FUND"/>
      <sheetName val="Transportation Per Student"/>
      <sheetName val="75% or more ESE Calc"/>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5101"/>
      <sheetName val="5091"/>
      <sheetName val="5081"/>
      <sheetName val="5071"/>
      <sheetName val="5061"/>
      <sheetName val="5051"/>
      <sheetName val="5041"/>
      <sheetName val="5031"/>
      <sheetName val="502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CopyFromDataCheck"/>
      <sheetName val="MigrationTool"/>
      <sheetName val="Enrollment and Staff"/>
      <sheetName val="Calc Other Staff"/>
      <sheetName val="Calc Teacher Staff"/>
      <sheetName val="Staff List"/>
      <sheetName val="Income Decisions"/>
      <sheetName val="Facilities Decisions"/>
      <sheetName val="Services"/>
      <sheetName val="Other Expenses"/>
      <sheetName val="Custom Expenses"/>
      <sheetName val="Complete Budget"/>
      <sheetName val="DataCheck"/>
      <sheetName val="Calculations"/>
      <sheetName val="PlnYrCashFlow"/>
      <sheetName val="Year1CashFlow"/>
      <sheetName val="PTBudgetSummaries"/>
      <sheetName val="Summary1"/>
      <sheetName val="Summary2"/>
      <sheetName val="Summary3"/>
      <sheetName val="Summary4"/>
      <sheetName val="Summary5"/>
      <sheetName val="Summary6"/>
      <sheetName val="Copyable Charts"/>
      <sheetName val="Dist_Messages"/>
      <sheetName val="Reference"/>
      <sheetName val="Year0Emp"/>
      <sheetName val="Year1Emp"/>
      <sheetName val="Year2Emp"/>
      <sheetName val="Year3Emp"/>
      <sheetName val="Year4Emp"/>
      <sheetName val="Year5Emp"/>
      <sheetName val="ActEmpTotals"/>
      <sheetName val="EmpStipends"/>
      <sheetName val="UseEmpAmts"/>
      <sheetName val="CustomPT"/>
      <sheetName val="ActualSalariesPT"/>
      <sheetName val="State Income Calc"/>
      <sheetName val=" Detail 2015-16 Conference FEFP"/>
      <sheetName val="111-112-113 ADDITIONAL FUND"/>
      <sheetName val="Transportation Per Student"/>
      <sheetName val="75% or more ESE Cal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C2" t="str">
            <v>Code</v>
          </cell>
        </row>
      </sheetData>
      <sheetData sheetId="26">
        <row r="3">
          <cell r="A3">
            <v>1</v>
          </cell>
          <cell r="B3" t="str">
            <v>A</v>
          </cell>
          <cell r="E3">
            <v>5100</v>
          </cell>
          <cell r="F3" t="str">
            <v>Basic Instruction</v>
          </cell>
          <cell r="G3" t="str">
            <v>Instr</v>
          </cell>
          <cell r="H3" t="str">
            <v>5100-Instr</v>
          </cell>
          <cell r="J3">
            <v>110</v>
          </cell>
          <cell r="K3" t="str">
            <v>Administrator Salaries</v>
          </cell>
          <cell r="L3" t="str">
            <v>Admin</v>
          </cell>
          <cell r="M3" t="str">
            <v>110-Admin</v>
          </cell>
          <cell r="AE3">
            <v>1</v>
          </cell>
          <cell r="AF3" t="str">
            <v>Alachua</v>
          </cell>
          <cell r="BB3">
            <v>3230</v>
          </cell>
          <cell r="BC3" t="str">
            <v>IDEA Funds</v>
          </cell>
          <cell r="BD3" t="str">
            <v>IDEA</v>
          </cell>
          <cell r="BE3" t="str">
            <v>3230-IDEA</v>
          </cell>
          <cell r="CC3">
            <v>5100</v>
          </cell>
          <cell r="CD3">
            <v>15</v>
          </cell>
          <cell r="CE3">
            <v>33</v>
          </cell>
          <cell r="CF3">
            <v>51</v>
          </cell>
          <cell r="CG3">
            <v>69</v>
          </cell>
          <cell r="CH3">
            <v>87</v>
          </cell>
          <cell r="CI3">
            <v>105</v>
          </cell>
          <cell r="CK3">
            <v>110</v>
          </cell>
          <cell r="CL3" t="str">
            <v>J</v>
          </cell>
          <cell r="CM3">
            <v>10</v>
          </cell>
        </row>
        <row r="4">
          <cell r="A4">
            <v>2</v>
          </cell>
          <cell r="B4" t="str">
            <v>B</v>
          </cell>
          <cell r="E4">
            <v>5200</v>
          </cell>
          <cell r="F4" t="str">
            <v>Exceptional Education</v>
          </cell>
          <cell r="G4" t="str">
            <v>ESE</v>
          </cell>
          <cell r="H4" t="str">
            <v>5200-ESE</v>
          </cell>
          <cell r="J4">
            <v>120</v>
          </cell>
          <cell r="K4" t="str">
            <v>Classroom Teacher Salaries</v>
          </cell>
          <cell r="L4" t="str">
            <v>ClasTchr</v>
          </cell>
          <cell r="M4" t="str">
            <v>120-ClasTchr</v>
          </cell>
          <cell r="AE4">
            <v>2</v>
          </cell>
          <cell r="AF4" t="str">
            <v>Baker</v>
          </cell>
          <cell r="BB4">
            <v>3240</v>
          </cell>
          <cell r="BC4" t="str">
            <v>Title 1 Funds</v>
          </cell>
          <cell r="BD4" t="str">
            <v>TitleI</v>
          </cell>
          <cell r="BE4" t="str">
            <v>3240-TitleI</v>
          </cell>
          <cell r="CC4">
            <v>5200</v>
          </cell>
          <cell r="CD4">
            <v>16</v>
          </cell>
          <cell r="CE4">
            <v>34</v>
          </cell>
          <cell r="CF4">
            <v>52</v>
          </cell>
          <cell r="CG4">
            <v>70</v>
          </cell>
          <cell r="CH4">
            <v>88</v>
          </cell>
          <cell r="CI4">
            <v>106</v>
          </cell>
          <cell r="CK4">
            <v>120</v>
          </cell>
          <cell r="CL4" t="str">
            <v>K</v>
          </cell>
          <cell r="CM4">
            <v>11</v>
          </cell>
        </row>
        <row r="5">
          <cell r="A5">
            <v>3</v>
          </cell>
          <cell r="B5" t="str">
            <v>C</v>
          </cell>
          <cell r="E5">
            <v>6100</v>
          </cell>
          <cell r="F5" t="str">
            <v>Pupil Services</v>
          </cell>
          <cell r="G5" t="str">
            <v>PupServ</v>
          </cell>
          <cell r="H5" t="str">
            <v>6100-PupServ</v>
          </cell>
          <cell r="J5">
            <v>130</v>
          </cell>
          <cell r="K5" t="str">
            <v>Other Certified Staff Member</v>
          </cell>
          <cell r="L5" t="str">
            <v>OthTchr</v>
          </cell>
          <cell r="M5" t="str">
            <v>130-OthTchr</v>
          </cell>
          <cell r="AE5">
            <v>3</v>
          </cell>
          <cell r="AF5" t="str">
            <v>Bay</v>
          </cell>
          <cell r="BB5">
            <v>3261</v>
          </cell>
          <cell r="BC5" t="str">
            <v>School Lunch Reimbursements</v>
          </cell>
          <cell r="BD5" t="str">
            <v>NSLP-Lun</v>
          </cell>
          <cell r="BE5" t="str">
            <v>3261-NSLP-Lun</v>
          </cell>
          <cell r="CC5">
            <v>6100</v>
          </cell>
          <cell r="CD5">
            <v>17</v>
          </cell>
          <cell r="CE5">
            <v>35</v>
          </cell>
          <cell r="CF5">
            <v>53</v>
          </cell>
          <cell r="CG5">
            <v>71</v>
          </cell>
          <cell r="CH5">
            <v>89</v>
          </cell>
          <cell r="CI5">
            <v>107</v>
          </cell>
          <cell r="CK5">
            <v>130</v>
          </cell>
          <cell r="CL5" t="str">
            <v>L</v>
          </cell>
          <cell r="CM5">
            <v>12</v>
          </cell>
        </row>
        <row r="6">
          <cell r="A6">
            <v>4</v>
          </cell>
          <cell r="B6" t="str">
            <v>D</v>
          </cell>
          <cell r="E6">
            <v>6200</v>
          </cell>
          <cell r="F6" t="str">
            <v>Instructional Media Services</v>
          </cell>
          <cell r="G6" t="str">
            <v>MediaC.</v>
          </cell>
          <cell r="H6" t="str">
            <v>6200-MediaC.</v>
          </cell>
          <cell r="J6">
            <v>140</v>
          </cell>
          <cell r="K6" t="str">
            <v>Substitute Teachers</v>
          </cell>
          <cell r="L6" t="str">
            <v>Subst</v>
          </cell>
          <cell r="M6" t="str">
            <v>140-Subst</v>
          </cell>
          <cell r="AE6">
            <v>4</v>
          </cell>
          <cell r="AF6" t="str">
            <v>Bradford</v>
          </cell>
          <cell r="BB6">
            <v>3262</v>
          </cell>
          <cell r="BC6" t="str">
            <v>School Breakfast Reimbursements</v>
          </cell>
          <cell r="BD6" t="str">
            <v>NSLP-Bre</v>
          </cell>
          <cell r="BE6" t="str">
            <v>3262-NSLP-Bre</v>
          </cell>
          <cell r="CC6">
            <v>6200</v>
          </cell>
          <cell r="CD6">
            <v>18</v>
          </cell>
          <cell r="CE6">
            <v>36</v>
          </cell>
          <cell r="CF6">
            <v>54</v>
          </cell>
          <cell r="CG6">
            <v>72</v>
          </cell>
          <cell r="CH6">
            <v>90</v>
          </cell>
          <cell r="CI6">
            <v>108</v>
          </cell>
          <cell r="CK6">
            <v>140</v>
          </cell>
          <cell r="CL6" t="str">
            <v>M</v>
          </cell>
          <cell r="CM6">
            <v>13</v>
          </cell>
        </row>
        <row r="7">
          <cell r="A7">
            <v>5</v>
          </cell>
          <cell r="B7" t="str">
            <v>E</v>
          </cell>
          <cell r="E7">
            <v>6300</v>
          </cell>
          <cell r="F7" t="str">
            <v>Instructional/Curriculum Development</v>
          </cell>
          <cell r="G7" t="str">
            <v>Curric</v>
          </cell>
          <cell r="H7" t="str">
            <v>6300-Curric</v>
          </cell>
          <cell r="J7">
            <v>150</v>
          </cell>
          <cell r="K7" t="str">
            <v>Paraprofessionals</v>
          </cell>
          <cell r="L7" t="str">
            <v>ParaPro</v>
          </cell>
          <cell r="M7" t="str">
            <v>150-ParaPro</v>
          </cell>
          <cell r="AE7">
            <v>5</v>
          </cell>
          <cell r="AF7" t="str">
            <v>Brevard</v>
          </cell>
          <cell r="BB7">
            <v>3263</v>
          </cell>
          <cell r="BC7" t="str">
            <v>After School Snack Reimbursement</v>
          </cell>
          <cell r="BD7" t="str">
            <v>NSLP-Sna</v>
          </cell>
          <cell r="BE7" t="str">
            <v>3263-NSLP-Sna</v>
          </cell>
          <cell r="CC7">
            <v>6300</v>
          </cell>
          <cell r="CD7">
            <v>19</v>
          </cell>
          <cell r="CE7">
            <v>37</v>
          </cell>
          <cell r="CF7">
            <v>55</v>
          </cell>
          <cell r="CG7">
            <v>73</v>
          </cell>
          <cell r="CH7">
            <v>91</v>
          </cell>
          <cell r="CI7">
            <v>109</v>
          </cell>
          <cell r="CK7">
            <v>150</v>
          </cell>
          <cell r="CL7" t="str">
            <v>N</v>
          </cell>
          <cell r="CM7">
            <v>14</v>
          </cell>
        </row>
        <row r="8">
          <cell r="A8">
            <v>6</v>
          </cell>
          <cell r="B8" t="str">
            <v>F</v>
          </cell>
          <cell r="E8">
            <v>6400</v>
          </cell>
          <cell r="F8" t="str">
            <v>Instructional Staff Training</v>
          </cell>
          <cell r="G8" t="str">
            <v>ProfDev</v>
          </cell>
          <cell r="H8" t="str">
            <v>6400-ProfDev</v>
          </cell>
          <cell r="J8">
            <v>160</v>
          </cell>
          <cell r="K8" t="str">
            <v>Other Support Personnel</v>
          </cell>
          <cell r="L8" t="str">
            <v>SuprtStf</v>
          </cell>
          <cell r="M8" t="str">
            <v>160-SuprtStf</v>
          </cell>
          <cell r="AE8">
            <v>6</v>
          </cell>
          <cell r="AF8" t="str">
            <v>Broward</v>
          </cell>
          <cell r="BB8">
            <v>3269</v>
          </cell>
          <cell r="BC8" t="str">
            <v>Other Food Service Income</v>
          </cell>
          <cell r="BD8" t="str">
            <v>NSLP-Oth</v>
          </cell>
          <cell r="BE8" t="str">
            <v>3269-NSLP-Oth</v>
          </cell>
          <cell r="CC8">
            <v>6400</v>
          </cell>
          <cell r="CD8">
            <v>20</v>
          </cell>
          <cell r="CE8">
            <v>38</v>
          </cell>
          <cell r="CF8">
            <v>56</v>
          </cell>
          <cell r="CG8">
            <v>74</v>
          </cell>
          <cell r="CH8">
            <v>92</v>
          </cell>
          <cell r="CI8">
            <v>110</v>
          </cell>
          <cell r="CK8">
            <v>160</v>
          </cell>
          <cell r="CL8" t="str">
            <v>O</v>
          </cell>
          <cell r="CM8">
            <v>15</v>
          </cell>
        </row>
        <row r="9">
          <cell r="A9">
            <v>7</v>
          </cell>
          <cell r="B9" t="str">
            <v>G</v>
          </cell>
          <cell r="E9">
            <v>6500</v>
          </cell>
          <cell r="F9" t="str">
            <v>Instructional-Related Technology</v>
          </cell>
          <cell r="G9" t="str">
            <v>EdTech</v>
          </cell>
          <cell r="H9" t="str">
            <v>6500-EdTech</v>
          </cell>
          <cell r="J9">
            <v>210</v>
          </cell>
          <cell r="K9" t="str">
            <v>Retirement</v>
          </cell>
          <cell r="L9" t="str">
            <v>Rtrmt</v>
          </cell>
          <cell r="M9" t="str">
            <v>210-Rtrmt</v>
          </cell>
          <cell r="AE9">
            <v>7</v>
          </cell>
          <cell r="AF9" t="str">
            <v>Calhoun</v>
          </cell>
          <cell r="BB9">
            <v>3299</v>
          </cell>
          <cell r="BC9" t="str">
            <v>Misc. Federal through State</v>
          </cell>
          <cell r="BD9" t="str">
            <v>Misc-Fed</v>
          </cell>
          <cell r="BE9" t="str">
            <v>3299-Misc-Fed</v>
          </cell>
          <cell r="CC9">
            <v>6500</v>
          </cell>
          <cell r="CD9">
            <v>21</v>
          </cell>
          <cell r="CE9">
            <v>39</v>
          </cell>
          <cell r="CF9">
            <v>57</v>
          </cell>
          <cell r="CG9">
            <v>75</v>
          </cell>
          <cell r="CH9">
            <v>93</v>
          </cell>
          <cell r="CI9">
            <v>111</v>
          </cell>
          <cell r="CK9">
            <v>210</v>
          </cell>
          <cell r="CL9" t="str">
            <v>P</v>
          </cell>
          <cell r="CM9">
            <v>16</v>
          </cell>
        </row>
        <row r="10">
          <cell r="A10">
            <v>8</v>
          </cell>
          <cell r="B10" t="str">
            <v>H</v>
          </cell>
          <cell r="E10">
            <v>7100</v>
          </cell>
          <cell r="F10" t="str">
            <v>Board</v>
          </cell>
          <cell r="G10" t="str">
            <v>Board</v>
          </cell>
          <cell r="H10" t="str">
            <v>7100-Board</v>
          </cell>
          <cell r="J10">
            <v>220</v>
          </cell>
          <cell r="K10" t="str">
            <v>FICA</v>
          </cell>
          <cell r="L10" t="str">
            <v>FICA</v>
          </cell>
          <cell r="M10" t="str">
            <v>220-FICA</v>
          </cell>
          <cell r="AE10">
            <v>8</v>
          </cell>
          <cell r="AF10" t="str">
            <v>Charlotte</v>
          </cell>
          <cell r="BB10">
            <v>3310</v>
          </cell>
          <cell r="BC10" t="str">
            <v>Florida Ed. Finance Program (FEFP)</v>
          </cell>
          <cell r="BD10" t="str">
            <v>FEFP</v>
          </cell>
          <cell r="BE10" t="str">
            <v>3310-FEFP</v>
          </cell>
          <cell r="CC10">
            <v>7100</v>
          </cell>
          <cell r="CD10">
            <v>22</v>
          </cell>
          <cell r="CE10">
            <v>40</v>
          </cell>
          <cell r="CF10">
            <v>58</v>
          </cell>
          <cell r="CG10">
            <v>76</v>
          </cell>
          <cell r="CH10">
            <v>94</v>
          </cell>
          <cell r="CI10">
            <v>112</v>
          </cell>
          <cell r="CK10">
            <v>220</v>
          </cell>
          <cell r="CL10" t="str">
            <v>Q</v>
          </cell>
          <cell r="CM10">
            <v>17</v>
          </cell>
        </row>
        <row r="11">
          <cell r="A11">
            <v>9</v>
          </cell>
          <cell r="B11" t="str">
            <v>I</v>
          </cell>
          <cell r="E11">
            <v>7200</v>
          </cell>
          <cell r="F11" t="str">
            <v>General / District Administration</v>
          </cell>
          <cell r="G11" t="str">
            <v>District</v>
          </cell>
          <cell r="H11" t="str">
            <v>7200-District</v>
          </cell>
          <cell r="J11">
            <v>230</v>
          </cell>
          <cell r="K11" t="str">
            <v>Group Insurance</v>
          </cell>
          <cell r="L11" t="str">
            <v>HlthIns</v>
          </cell>
          <cell r="M11" t="str">
            <v>230-HlthIns</v>
          </cell>
          <cell r="AE11">
            <v>9</v>
          </cell>
          <cell r="AF11" t="str">
            <v>Citrus</v>
          </cell>
          <cell r="BB11">
            <v>3355</v>
          </cell>
          <cell r="BC11" t="str">
            <v>Class Size Reduction Funds</v>
          </cell>
          <cell r="BD11" t="str">
            <v>ClsRed</v>
          </cell>
          <cell r="BE11" t="str">
            <v>3355-ClsRed</v>
          </cell>
          <cell r="CC11">
            <v>7300</v>
          </cell>
          <cell r="CD11">
            <v>23</v>
          </cell>
          <cell r="CE11">
            <v>41</v>
          </cell>
          <cell r="CF11">
            <v>59</v>
          </cell>
          <cell r="CG11">
            <v>77</v>
          </cell>
          <cell r="CH11">
            <v>95</v>
          </cell>
          <cell r="CI11">
            <v>113</v>
          </cell>
          <cell r="CK11">
            <v>230</v>
          </cell>
          <cell r="CL11" t="str">
            <v>R</v>
          </cell>
          <cell r="CM11">
            <v>18</v>
          </cell>
        </row>
        <row r="12">
          <cell r="A12">
            <v>10</v>
          </cell>
          <cell r="B12" t="str">
            <v>J</v>
          </cell>
          <cell r="E12">
            <v>7300</v>
          </cell>
          <cell r="F12" t="str">
            <v>School Administration</v>
          </cell>
          <cell r="G12" t="str">
            <v>Admin</v>
          </cell>
          <cell r="H12" t="str">
            <v>7300-Admin</v>
          </cell>
          <cell r="J12">
            <v>240</v>
          </cell>
          <cell r="K12" t="str">
            <v>Worker's Compensation</v>
          </cell>
          <cell r="L12" t="str">
            <v>WkrCmp</v>
          </cell>
          <cell r="M12" t="str">
            <v>240-WkrCmp</v>
          </cell>
          <cell r="AE12">
            <v>10</v>
          </cell>
          <cell r="AF12" t="str">
            <v>Clay</v>
          </cell>
          <cell r="BB12">
            <v>3361</v>
          </cell>
          <cell r="BC12" t="str">
            <v>School Recognition Funds</v>
          </cell>
          <cell r="BD12" t="str">
            <v>A+Funds</v>
          </cell>
          <cell r="BE12" t="str">
            <v>3361-A+Funds</v>
          </cell>
          <cell r="CC12">
            <v>7500</v>
          </cell>
          <cell r="CD12">
            <v>24</v>
          </cell>
          <cell r="CE12">
            <v>42</v>
          </cell>
          <cell r="CF12">
            <v>60</v>
          </cell>
          <cell r="CG12">
            <v>78</v>
          </cell>
          <cell r="CH12">
            <v>96</v>
          </cell>
          <cell r="CI12">
            <v>114</v>
          </cell>
          <cell r="CK12">
            <v>240</v>
          </cell>
          <cell r="CL12" t="str">
            <v>S</v>
          </cell>
          <cell r="CM12">
            <v>19</v>
          </cell>
        </row>
        <row r="13">
          <cell r="A13">
            <v>11</v>
          </cell>
          <cell r="B13" t="str">
            <v>K</v>
          </cell>
          <cell r="E13">
            <v>7500</v>
          </cell>
          <cell r="F13" t="str">
            <v>Fiscal Services</v>
          </cell>
          <cell r="G13" t="str">
            <v>Fiscal</v>
          </cell>
          <cell r="H13" t="str">
            <v>7500-Fiscal</v>
          </cell>
          <cell r="J13">
            <v>250</v>
          </cell>
          <cell r="K13" t="str">
            <v>Unemployment Compensation</v>
          </cell>
          <cell r="L13" t="str">
            <v>Unemp</v>
          </cell>
          <cell r="M13" t="str">
            <v>250-Unemp</v>
          </cell>
          <cell r="AE13">
            <v>11</v>
          </cell>
          <cell r="AF13" t="str">
            <v>Collier</v>
          </cell>
          <cell r="BB13">
            <v>3397</v>
          </cell>
          <cell r="BC13" t="str">
            <v>Capital Outlay Funds</v>
          </cell>
          <cell r="BD13" t="str">
            <v>CapOutl</v>
          </cell>
          <cell r="BE13" t="str">
            <v>3397-CapOutl</v>
          </cell>
          <cell r="CC13">
            <v>7600</v>
          </cell>
          <cell r="CD13">
            <v>25</v>
          </cell>
          <cell r="CE13">
            <v>43</v>
          </cell>
          <cell r="CF13">
            <v>61</v>
          </cell>
          <cell r="CG13">
            <v>79</v>
          </cell>
          <cell r="CH13">
            <v>97</v>
          </cell>
          <cell r="CI13">
            <v>115</v>
          </cell>
          <cell r="CK13">
            <v>250</v>
          </cell>
          <cell r="CL13" t="str">
            <v>T</v>
          </cell>
          <cell r="CM13">
            <v>20</v>
          </cell>
        </row>
        <row r="14">
          <cell r="A14">
            <v>12</v>
          </cell>
          <cell r="B14" t="str">
            <v>L</v>
          </cell>
          <cell r="E14">
            <v>7600</v>
          </cell>
          <cell r="F14" t="str">
            <v>Food Services</v>
          </cell>
          <cell r="G14" t="str">
            <v>Lunch</v>
          </cell>
          <cell r="H14" t="str">
            <v>7600-Lunch</v>
          </cell>
          <cell r="J14">
            <v>290</v>
          </cell>
          <cell r="K14" t="str">
            <v>Other Employee Benefits</v>
          </cell>
          <cell r="L14" t="str">
            <v>Benefit</v>
          </cell>
          <cell r="M14" t="str">
            <v>290-Benefit</v>
          </cell>
          <cell r="AE14">
            <v>12</v>
          </cell>
          <cell r="AF14" t="str">
            <v>Columbia</v>
          </cell>
          <cell r="BB14">
            <v>3430</v>
          </cell>
          <cell r="BC14" t="str">
            <v>Interest</v>
          </cell>
          <cell r="BD14" t="str">
            <v>Interest</v>
          </cell>
          <cell r="BE14" t="str">
            <v>3430-Interest</v>
          </cell>
          <cell r="CC14">
            <v>7800</v>
          </cell>
          <cell r="CD14">
            <v>26</v>
          </cell>
          <cell r="CE14">
            <v>44</v>
          </cell>
          <cell r="CF14">
            <v>62</v>
          </cell>
          <cell r="CG14">
            <v>80</v>
          </cell>
          <cell r="CH14">
            <v>98</v>
          </cell>
          <cell r="CI14">
            <v>116</v>
          </cell>
          <cell r="CK14">
            <v>290</v>
          </cell>
          <cell r="CL14" t="str">
            <v>U</v>
          </cell>
          <cell r="CM14">
            <v>21</v>
          </cell>
        </row>
        <row r="15">
          <cell r="A15">
            <v>13</v>
          </cell>
          <cell r="B15" t="str">
            <v>M</v>
          </cell>
          <cell r="E15">
            <v>7800</v>
          </cell>
          <cell r="F15" t="str">
            <v>Pupil Transportation</v>
          </cell>
          <cell r="G15" t="str">
            <v>Trans</v>
          </cell>
          <cell r="H15" t="str">
            <v>7800-Trans</v>
          </cell>
          <cell r="J15">
            <v>310</v>
          </cell>
          <cell r="K15" t="str">
            <v>Professional and Technical Services</v>
          </cell>
          <cell r="L15" t="str">
            <v>PrfSrvs</v>
          </cell>
          <cell r="M15" t="str">
            <v>310-PrfSrvs</v>
          </cell>
          <cell r="AE15">
            <v>13</v>
          </cell>
          <cell r="AF15" t="str">
            <v>Miami-Dade</v>
          </cell>
          <cell r="BB15">
            <v>3440</v>
          </cell>
          <cell r="BC15" t="str">
            <v>Gifts, Grants and Bequests</v>
          </cell>
          <cell r="BD15" t="str">
            <v>Donate</v>
          </cell>
          <cell r="BE15" t="str">
            <v>3440-Donate</v>
          </cell>
          <cell r="CC15">
            <v>7900</v>
          </cell>
          <cell r="CD15">
            <v>27</v>
          </cell>
          <cell r="CE15">
            <v>45</v>
          </cell>
          <cell r="CF15">
            <v>63</v>
          </cell>
          <cell r="CG15">
            <v>81</v>
          </cell>
          <cell r="CH15">
            <v>99</v>
          </cell>
          <cell r="CI15">
            <v>117</v>
          </cell>
          <cell r="CK15">
            <v>750</v>
          </cell>
          <cell r="CL15" t="str">
            <v>V</v>
          </cell>
          <cell r="CM15">
            <v>22</v>
          </cell>
        </row>
        <row r="16">
          <cell r="A16">
            <v>14</v>
          </cell>
          <cell r="B16" t="str">
            <v>N</v>
          </cell>
          <cell r="E16">
            <v>7900</v>
          </cell>
          <cell r="F16" t="str">
            <v>Operation of Plant</v>
          </cell>
          <cell r="G16" t="str">
            <v>Facility</v>
          </cell>
          <cell r="H16" t="str">
            <v>7900-Facility</v>
          </cell>
          <cell r="J16">
            <v>320</v>
          </cell>
          <cell r="K16" t="str">
            <v>Insurance and Bond Premiums</v>
          </cell>
          <cell r="L16" t="str">
            <v>InsBond</v>
          </cell>
          <cell r="M16" t="str">
            <v>320-InsBond</v>
          </cell>
          <cell r="AE16">
            <v>14</v>
          </cell>
          <cell r="AF16" t="str">
            <v>De Soto</v>
          </cell>
          <cell r="BB16">
            <v>3451</v>
          </cell>
          <cell r="BC16" t="str">
            <v>School Lunch Collections</v>
          </cell>
          <cell r="BD16" t="str">
            <v>Lunch$</v>
          </cell>
          <cell r="BE16" t="str">
            <v>3451-Lunch$</v>
          </cell>
          <cell r="CC16">
            <v>9100</v>
          </cell>
          <cell r="CD16">
            <v>28</v>
          </cell>
          <cell r="CE16">
            <v>46</v>
          </cell>
          <cell r="CF16">
            <v>64</v>
          </cell>
          <cell r="CG16">
            <v>82</v>
          </cell>
          <cell r="CH16">
            <v>100</v>
          </cell>
          <cell r="CI16">
            <v>118</v>
          </cell>
        </row>
        <row r="17">
          <cell r="A17">
            <v>15</v>
          </cell>
          <cell r="B17" t="str">
            <v>O</v>
          </cell>
          <cell r="E17">
            <v>9100</v>
          </cell>
          <cell r="F17" t="str">
            <v>Community Service</v>
          </cell>
          <cell r="G17" t="str">
            <v>ComSrv</v>
          </cell>
          <cell r="H17" t="str">
            <v>9100-ComSrv</v>
          </cell>
          <cell r="J17">
            <v>330</v>
          </cell>
          <cell r="K17" t="str">
            <v>Travel</v>
          </cell>
          <cell r="L17" t="str">
            <v>Travel</v>
          </cell>
          <cell r="M17" t="str">
            <v>330-Travel</v>
          </cell>
          <cell r="AE17">
            <v>15</v>
          </cell>
          <cell r="AF17" t="str">
            <v>Dixie</v>
          </cell>
          <cell r="BB17">
            <v>3452</v>
          </cell>
          <cell r="BC17" t="str">
            <v>Student Breakfast Collections</v>
          </cell>
          <cell r="BD17" t="str">
            <v>Break$</v>
          </cell>
          <cell r="BE17" t="str">
            <v>3452-Break$</v>
          </cell>
        </row>
        <row r="18">
          <cell r="A18">
            <v>16</v>
          </cell>
          <cell r="B18" t="str">
            <v>P</v>
          </cell>
          <cell r="J18">
            <v>350</v>
          </cell>
          <cell r="K18" t="str">
            <v>Repairs and Maintenance</v>
          </cell>
          <cell r="L18" t="str">
            <v>Repairs</v>
          </cell>
          <cell r="M18" t="str">
            <v>350-Repairs</v>
          </cell>
          <cell r="AE18">
            <v>16</v>
          </cell>
          <cell r="AF18" t="str">
            <v>Duval</v>
          </cell>
          <cell r="BB18">
            <v>3453</v>
          </cell>
          <cell r="BC18" t="str">
            <v>Adult Breakfast/Lunch Collections</v>
          </cell>
          <cell r="BD18" t="str">
            <v>AdltFd</v>
          </cell>
          <cell r="BE18" t="str">
            <v>3453-AdltFd</v>
          </cell>
        </row>
        <row r="19">
          <cell r="A19">
            <v>17</v>
          </cell>
          <cell r="B19" t="str">
            <v>Q</v>
          </cell>
          <cell r="J19">
            <v>360</v>
          </cell>
          <cell r="K19" t="str">
            <v>Rentals</v>
          </cell>
          <cell r="L19" t="str">
            <v>Rentals</v>
          </cell>
          <cell r="M19" t="str">
            <v>360-Rentals</v>
          </cell>
          <cell r="AE19">
            <v>17</v>
          </cell>
          <cell r="AF19" t="str">
            <v>Escambia</v>
          </cell>
          <cell r="BB19">
            <v>3455</v>
          </cell>
          <cell r="BC19" t="str">
            <v>Student Snack Collections</v>
          </cell>
          <cell r="BD19" t="str">
            <v>Snack$</v>
          </cell>
          <cell r="BE19" t="str">
            <v>3455-Snack$</v>
          </cell>
        </row>
        <row r="20">
          <cell r="A20">
            <v>18</v>
          </cell>
          <cell r="B20" t="str">
            <v>R</v>
          </cell>
          <cell r="J20">
            <v>370</v>
          </cell>
          <cell r="K20" t="str">
            <v>Communications</v>
          </cell>
          <cell r="L20" t="str">
            <v>Comm</v>
          </cell>
          <cell r="M20" t="str">
            <v>370-Comm</v>
          </cell>
          <cell r="AE20">
            <v>18</v>
          </cell>
          <cell r="AF20" t="str">
            <v>Flagler</v>
          </cell>
          <cell r="BB20">
            <v>3473</v>
          </cell>
          <cell r="BC20" t="str">
            <v>School-Aged Child Care Fees</v>
          </cell>
          <cell r="BD20" t="str">
            <v>ChldCare</v>
          </cell>
          <cell r="BE20" t="str">
            <v>3473-ChldCare</v>
          </cell>
        </row>
        <row r="21">
          <cell r="A21">
            <v>19</v>
          </cell>
          <cell r="B21" t="str">
            <v>S</v>
          </cell>
          <cell r="J21">
            <v>380</v>
          </cell>
          <cell r="K21" t="str">
            <v>Public Utilities</v>
          </cell>
          <cell r="L21" t="str">
            <v>Utilities</v>
          </cell>
          <cell r="M21" t="str">
            <v>380-Utilities</v>
          </cell>
          <cell r="AE21">
            <v>19</v>
          </cell>
          <cell r="AF21" t="str">
            <v>Franklin</v>
          </cell>
          <cell r="BB21">
            <v>3492</v>
          </cell>
          <cell r="BC21" t="str">
            <v>Transportation Services</v>
          </cell>
          <cell r="BD21" t="str">
            <v>Trans</v>
          </cell>
          <cell r="BE21" t="str">
            <v>3492-Trans</v>
          </cell>
        </row>
        <row r="22">
          <cell r="A22">
            <v>20</v>
          </cell>
          <cell r="B22" t="str">
            <v>T</v>
          </cell>
          <cell r="J22">
            <v>390</v>
          </cell>
          <cell r="K22" t="str">
            <v>Other Purchased Services</v>
          </cell>
          <cell r="L22" t="str">
            <v>PrchSrv</v>
          </cell>
          <cell r="M22" t="str">
            <v>390-PrchSrv</v>
          </cell>
          <cell r="AE22">
            <v>20</v>
          </cell>
          <cell r="AF22" t="str">
            <v>Gadsden</v>
          </cell>
          <cell r="BB22">
            <v>3493</v>
          </cell>
          <cell r="BC22" t="str">
            <v>Sale of 'Junk'</v>
          </cell>
          <cell r="BD22" t="str">
            <v>Sales</v>
          </cell>
          <cell r="BE22" t="str">
            <v>3493-Sales</v>
          </cell>
        </row>
        <row r="23">
          <cell r="A23">
            <v>21</v>
          </cell>
          <cell r="B23" t="str">
            <v>U</v>
          </cell>
          <cell r="J23">
            <v>430</v>
          </cell>
          <cell r="K23" t="str">
            <v>Electricity</v>
          </cell>
          <cell r="L23" t="str">
            <v>Elect</v>
          </cell>
          <cell r="M23" t="str">
            <v>430-Elect</v>
          </cell>
          <cell r="AE23">
            <v>21</v>
          </cell>
          <cell r="AF23" t="str">
            <v>Gilchrist</v>
          </cell>
          <cell r="BB23">
            <v>3495</v>
          </cell>
          <cell r="BC23" t="str">
            <v>Other Miscellaneous Local Sources</v>
          </cell>
          <cell r="BD23" t="str">
            <v>Misc-Loc</v>
          </cell>
          <cell r="BE23" t="str">
            <v>3495-Misc-Loc</v>
          </cell>
        </row>
        <row r="24">
          <cell r="A24">
            <v>22</v>
          </cell>
          <cell r="B24" t="str">
            <v>V</v>
          </cell>
          <cell r="J24">
            <v>460</v>
          </cell>
          <cell r="K24" t="str">
            <v>Gas / Fuel</v>
          </cell>
          <cell r="L24" t="str">
            <v>Fuel</v>
          </cell>
          <cell r="M24" t="str">
            <v>460-Fuel</v>
          </cell>
        </row>
        <row r="25">
          <cell r="A25">
            <v>23</v>
          </cell>
          <cell r="B25" t="str">
            <v>W</v>
          </cell>
          <cell r="J25">
            <v>510</v>
          </cell>
          <cell r="K25" t="str">
            <v>Supplies</v>
          </cell>
          <cell r="L25" t="str">
            <v>Supplies</v>
          </cell>
          <cell r="M25" t="str">
            <v>510-Supplies</v>
          </cell>
          <cell r="AE25">
            <v>22</v>
          </cell>
          <cell r="AF25" t="str">
            <v>Glades</v>
          </cell>
          <cell r="BB25">
            <v>3498</v>
          </cell>
          <cell r="BC25" t="str">
            <v>Collection for lost materials</v>
          </cell>
          <cell r="BD25" t="str">
            <v>LostBook</v>
          </cell>
          <cell r="BE25" t="str">
            <v>3498-LostBook</v>
          </cell>
        </row>
        <row r="26">
          <cell r="A26">
            <v>24</v>
          </cell>
          <cell r="B26" t="str">
            <v>X</v>
          </cell>
          <cell r="J26">
            <v>520</v>
          </cell>
          <cell r="K26" t="str">
            <v>Textbooks</v>
          </cell>
          <cell r="L26" t="str">
            <v>TxtBks</v>
          </cell>
          <cell r="M26" t="str">
            <v>520-TxtBks</v>
          </cell>
          <cell r="AE26">
            <v>23</v>
          </cell>
          <cell r="AF26" t="str">
            <v>Gulf</v>
          </cell>
        </row>
        <row r="27">
          <cell r="A27">
            <v>25</v>
          </cell>
          <cell r="B27" t="str">
            <v>Y</v>
          </cell>
          <cell r="J27">
            <v>530</v>
          </cell>
          <cell r="K27" t="str">
            <v>Periodicals</v>
          </cell>
          <cell r="L27" t="str">
            <v>Journals</v>
          </cell>
          <cell r="M27" t="str">
            <v>530-Journals</v>
          </cell>
          <cell r="AE27">
            <v>24</v>
          </cell>
          <cell r="AF27" t="str">
            <v>Hamilton</v>
          </cell>
        </row>
        <row r="28">
          <cell r="A28">
            <v>26</v>
          </cell>
          <cell r="B28" t="str">
            <v>Z</v>
          </cell>
          <cell r="J28">
            <v>570</v>
          </cell>
          <cell r="K28" t="str">
            <v>Food</v>
          </cell>
          <cell r="L28" t="str">
            <v>Food</v>
          </cell>
          <cell r="M28" t="str">
            <v>570-Food</v>
          </cell>
          <cell r="AE28">
            <v>25</v>
          </cell>
          <cell r="AF28" t="str">
            <v>Hardee</v>
          </cell>
        </row>
        <row r="29">
          <cell r="A29">
            <v>27</v>
          </cell>
          <cell r="B29" t="str">
            <v>AA</v>
          </cell>
          <cell r="J29">
            <v>590</v>
          </cell>
          <cell r="K29" t="str">
            <v>Other Materials and Supplies</v>
          </cell>
          <cell r="L29" t="str">
            <v>OthSup</v>
          </cell>
          <cell r="M29" t="str">
            <v>590-OthSup</v>
          </cell>
          <cell r="AE29">
            <v>26</v>
          </cell>
          <cell r="AF29" t="str">
            <v>Hendry</v>
          </cell>
        </row>
        <row r="30">
          <cell r="A30">
            <v>28</v>
          </cell>
          <cell r="B30" t="str">
            <v>AB</v>
          </cell>
          <cell r="J30">
            <v>610</v>
          </cell>
          <cell r="K30" t="str">
            <v>Library Books</v>
          </cell>
          <cell r="L30" t="str">
            <v>Library</v>
          </cell>
          <cell r="M30" t="str">
            <v>610-Library</v>
          </cell>
          <cell r="AE30">
            <v>27</v>
          </cell>
          <cell r="AF30" t="str">
            <v>Hernando</v>
          </cell>
        </row>
        <row r="31">
          <cell r="A31">
            <v>29</v>
          </cell>
          <cell r="B31" t="str">
            <v>AC</v>
          </cell>
          <cell r="J31">
            <v>621</v>
          </cell>
          <cell r="K31" t="str">
            <v>AV Materials-Capitalized</v>
          </cell>
          <cell r="L31" t="str">
            <v>AVCap</v>
          </cell>
          <cell r="M31" t="str">
            <v>621-AVCap</v>
          </cell>
          <cell r="AE31">
            <v>28</v>
          </cell>
          <cell r="AF31" t="str">
            <v>Highlands</v>
          </cell>
        </row>
        <row r="32">
          <cell r="A32">
            <v>30</v>
          </cell>
          <cell r="B32" t="str">
            <v>AD</v>
          </cell>
          <cell r="J32">
            <v>622</v>
          </cell>
          <cell r="K32" t="str">
            <v>AV Materials (Non Capitalized)</v>
          </cell>
          <cell r="L32" t="str">
            <v>AVNCap</v>
          </cell>
          <cell r="M32" t="str">
            <v>622-AVNCap</v>
          </cell>
          <cell r="AE32">
            <v>29</v>
          </cell>
          <cell r="AF32" t="str">
            <v>Hillsborough</v>
          </cell>
        </row>
        <row r="33">
          <cell r="A33">
            <v>31</v>
          </cell>
          <cell r="B33" t="str">
            <v>AE</v>
          </cell>
          <cell r="J33">
            <v>630</v>
          </cell>
          <cell r="K33" t="str">
            <v>Building/Fixed Equipment</v>
          </cell>
          <cell r="L33" t="str">
            <v>BldgEqp</v>
          </cell>
          <cell r="M33" t="str">
            <v>630-BldgEqp</v>
          </cell>
          <cell r="AE33">
            <v>30</v>
          </cell>
          <cell r="AF33" t="str">
            <v>Holmes</v>
          </cell>
        </row>
        <row r="34">
          <cell r="A34">
            <v>32</v>
          </cell>
          <cell r="B34" t="str">
            <v>AF</v>
          </cell>
          <cell r="J34">
            <v>641</v>
          </cell>
          <cell r="K34" t="str">
            <v>Furniture, Fixtures-Capitalized</v>
          </cell>
          <cell r="L34" t="str">
            <v>FurnCap</v>
          </cell>
          <cell r="M34" t="str">
            <v>641-FurnCap</v>
          </cell>
          <cell r="AE34">
            <v>31</v>
          </cell>
          <cell r="AF34" t="str">
            <v>Indian River</v>
          </cell>
        </row>
        <row r="35">
          <cell r="A35">
            <v>33</v>
          </cell>
          <cell r="B35" t="str">
            <v>AG</v>
          </cell>
          <cell r="J35">
            <v>642</v>
          </cell>
          <cell r="K35" t="str">
            <v>Furniture, Fixtures (Non Capitalized)</v>
          </cell>
          <cell r="L35" t="str">
            <v>FurnNCap</v>
          </cell>
          <cell r="M35" t="str">
            <v>642-FurnNCap</v>
          </cell>
          <cell r="AE35">
            <v>32</v>
          </cell>
          <cell r="AF35" t="str">
            <v>Jackson</v>
          </cell>
        </row>
        <row r="36">
          <cell r="A36">
            <v>34</v>
          </cell>
          <cell r="B36" t="str">
            <v>AH</v>
          </cell>
          <cell r="J36">
            <v>643</v>
          </cell>
          <cell r="K36" t="str">
            <v>Computer Hardware-Capitalized</v>
          </cell>
          <cell r="L36" t="str">
            <v>CmptrCap</v>
          </cell>
          <cell r="M36" t="str">
            <v>643-CmptrCap</v>
          </cell>
          <cell r="AE36">
            <v>33</v>
          </cell>
          <cell r="AF36" t="str">
            <v>Jefferson</v>
          </cell>
        </row>
        <row r="37">
          <cell r="A37">
            <v>35</v>
          </cell>
          <cell r="B37" t="str">
            <v>AI</v>
          </cell>
          <cell r="J37">
            <v>644</v>
          </cell>
          <cell r="K37" t="str">
            <v>Computer Hardware (Non Capitalized)</v>
          </cell>
          <cell r="L37" t="str">
            <v>CmptrNCap</v>
          </cell>
          <cell r="M37" t="str">
            <v>644-CmptrNCap</v>
          </cell>
          <cell r="AE37">
            <v>34</v>
          </cell>
          <cell r="AF37" t="str">
            <v>Lafayette</v>
          </cell>
        </row>
        <row r="38">
          <cell r="A38">
            <v>36</v>
          </cell>
          <cell r="B38" t="str">
            <v>AJ</v>
          </cell>
          <cell r="J38">
            <v>680</v>
          </cell>
          <cell r="K38" t="str">
            <v>Remodeling/Renovations</v>
          </cell>
          <cell r="L38" t="str">
            <v>Remod</v>
          </cell>
          <cell r="M38" t="str">
            <v>680-Remod</v>
          </cell>
          <cell r="AE38">
            <v>35</v>
          </cell>
          <cell r="AF38" t="str">
            <v>Lake</v>
          </cell>
        </row>
        <row r="39">
          <cell r="A39">
            <v>37</v>
          </cell>
          <cell r="B39" t="str">
            <v>AK</v>
          </cell>
          <cell r="J39">
            <v>690</v>
          </cell>
          <cell r="K39" t="str">
            <v>Computer Software</v>
          </cell>
          <cell r="L39" t="str">
            <v>Software</v>
          </cell>
          <cell r="M39" t="str">
            <v>690-Software</v>
          </cell>
          <cell r="AE39">
            <v>36</v>
          </cell>
          <cell r="AF39" t="str">
            <v>Lee</v>
          </cell>
        </row>
        <row r="40">
          <cell r="A40">
            <v>38</v>
          </cell>
          <cell r="B40" t="str">
            <v>AL</v>
          </cell>
          <cell r="J40">
            <v>720</v>
          </cell>
          <cell r="K40" t="str">
            <v>Interest Payment / Debt Service</v>
          </cell>
          <cell r="L40" t="str">
            <v>Debt</v>
          </cell>
          <cell r="M40" t="str">
            <v>720-Debt</v>
          </cell>
          <cell r="AE40">
            <v>37</v>
          </cell>
          <cell r="AF40" t="str">
            <v>Leon</v>
          </cell>
        </row>
        <row r="41">
          <cell r="A41">
            <v>39</v>
          </cell>
          <cell r="B41" t="str">
            <v>AM</v>
          </cell>
          <cell r="J41">
            <v>730</v>
          </cell>
          <cell r="K41" t="str">
            <v>Dues and Fees</v>
          </cell>
          <cell r="L41" t="str">
            <v>Fees</v>
          </cell>
          <cell r="M41" t="str">
            <v>730-Fees</v>
          </cell>
          <cell r="AE41">
            <v>38</v>
          </cell>
          <cell r="AF41" t="str">
            <v>Levy</v>
          </cell>
        </row>
        <row r="42">
          <cell r="A42">
            <v>40</v>
          </cell>
          <cell r="B42" t="str">
            <v>AN</v>
          </cell>
          <cell r="J42">
            <v>750</v>
          </cell>
          <cell r="K42" t="str">
            <v>Other Personnel Services</v>
          </cell>
          <cell r="L42" t="str">
            <v>PrsSrvs</v>
          </cell>
          <cell r="M42" t="str">
            <v>750-PrsSrvs</v>
          </cell>
          <cell r="AE42">
            <v>39</v>
          </cell>
          <cell r="AF42" t="str">
            <v>Liberty</v>
          </cell>
        </row>
        <row r="43">
          <cell r="A43">
            <v>41</v>
          </cell>
          <cell r="B43" t="str">
            <v>AO</v>
          </cell>
          <cell r="J43">
            <v>790</v>
          </cell>
          <cell r="K43" t="str">
            <v>Miscellaneous Expenses</v>
          </cell>
          <cell r="L43" t="str">
            <v>Misc</v>
          </cell>
          <cell r="M43" t="str">
            <v>790-Misc</v>
          </cell>
          <cell r="AE43">
            <v>40</v>
          </cell>
          <cell r="AF43" t="str">
            <v>Madison</v>
          </cell>
        </row>
        <row r="44">
          <cell r="A44">
            <v>42</v>
          </cell>
          <cell r="B44" t="str">
            <v>AP</v>
          </cell>
          <cell r="AE44">
            <v>41</v>
          </cell>
          <cell r="AF44" t="str">
            <v>Manatee</v>
          </cell>
        </row>
        <row r="45">
          <cell r="A45">
            <v>43</v>
          </cell>
          <cell r="B45" t="str">
            <v>AQ</v>
          </cell>
          <cell r="AE45">
            <v>42</v>
          </cell>
          <cell r="AF45" t="str">
            <v>Marion</v>
          </cell>
        </row>
        <row r="46">
          <cell r="A46">
            <v>44</v>
          </cell>
          <cell r="B46" t="str">
            <v>AR</v>
          </cell>
          <cell r="AE46">
            <v>43</v>
          </cell>
          <cell r="AF46" t="str">
            <v>Martin</v>
          </cell>
        </row>
        <row r="47">
          <cell r="A47">
            <v>45</v>
          </cell>
          <cell r="B47" t="str">
            <v>AS</v>
          </cell>
          <cell r="AE47">
            <v>44</v>
          </cell>
          <cell r="AF47" t="str">
            <v>Monroe</v>
          </cell>
        </row>
        <row r="48">
          <cell r="A48">
            <v>46</v>
          </cell>
          <cell r="B48" t="str">
            <v>AT</v>
          </cell>
          <cell r="AE48">
            <v>45</v>
          </cell>
          <cell r="AF48" t="str">
            <v>Nassau</v>
          </cell>
        </row>
        <row r="49">
          <cell r="A49">
            <v>47</v>
          </cell>
          <cell r="B49" t="str">
            <v>AU</v>
          </cell>
          <cell r="AE49">
            <v>46</v>
          </cell>
          <cell r="AF49" t="str">
            <v>Okaloosa</v>
          </cell>
        </row>
        <row r="50">
          <cell r="A50">
            <v>48</v>
          </cell>
          <cell r="B50" t="str">
            <v>AV</v>
          </cell>
          <cell r="AE50">
            <v>47</v>
          </cell>
          <cell r="AF50" t="str">
            <v>Okeechobee</v>
          </cell>
        </row>
        <row r="51">
          <cell r="A51">
            <v>49</v>
          </cell>
          <cell r="B51" t="str">
            <v>AW</v>
          </cell>
          <cell r="AE51">
            <v>48</v>
          </cell>
          <cell r="AF51" t="str">
            <v>Orange</v>
          </cell>
        </row>
        <row r="52">
          <cell r="A52">
            <v>50</v>
          </cell>
          <cell r="B52" t="str">
            <v>AX</v>
          </cell>
          <cell r="AE52">
            <v>49</v>
          </cell>
          <cell r="AF52" t="str">
            <v>Osceola</v>
          </cell>
        </row>
        <row r="53">
          <cell r="A53">
            <v>51</v>
          </cell>
          <cell r="B53" t="str">
            <v>AY</v>
          </cell>
          <cell r="AE53">
            <v>50</v>
          </cell>
          <cell r="AF53" t="str">
            <v>Palm Beach</v>
          </cell>
        </row>
        <row r="54">
          <cell r="A54">
            <v>52</v>
          </cell>
          <cell r="B54" t="str">
            <v>AZ</v>
          </cell>
          <cell r="AE54">
            <v>51</v>
          </cell>
          <cell r="AF54" t="str">
            <v>Pasco</v>
          </cell>
        </row>
        <row r="55">
          <cell r="A55">
            <v>53</v>
          </cell>
          <cell r="B55" t="str">
            <v>BA</v>
          </cell>
          <cell r="AE55">
            <v>52</v>
          </cell>
          <cell r="AF55" t="str">
            <v>Pinellas</v>
          </cell>
        </row>
        <row r="56">
          <cell r="A56">
            <v>54</v>
          </cell>
          <cell r="B56" t="str">
            <v>BB</v>
          </cell>
          <cell r="AE56">
            <v>53</v>
          </cell>
          <cell r="AF56" t="str">
            <v>Polk</v>
          </cell>
        </row>
        <row r="57">
          <cell r="A57">
            <v>55</v>
          </cell>
          <cell r="B57" t="str">
            <v>BC</v>
          </cell>
          <cell r="AE57">
            <v>54</v>
          </cell>
          <cell r="AF57" t="str">
            <v>Putnam</v>
          </cell>
        </row>
        <row r="58">
          <cell r="A58">
            <v>56</v>
          </cell>
          <cell r="B58" t="str">
            <v>BD</v>
          </cell>
          <cell r="AE58">
            <v>55</v>
          </cell>
          <cell r="AF58" t="str">
            <v>St. Johns</v>
          </cell>
        </row>
        <row r="59">
          <cell r="A59">
            <v>57</v>
          </cell>
          <cell r="B59" t="str">
            <v>BE</v>
          </cell>
          <cell r="AE59">
            <v>56</v>
          </cell>
          <cell r="AF59" t="str">
            <v>St. Lucie</v>
          </cell>
        </row>
        <row r="60">
          <cell r="A60">
            <v>58</v>
          </cell>
          <cell r="B60" t="str">
            <v>BF</v>
          </cell>
          <cell r="AE60">
            <v>57</v>
          </cell>
          <cell r="AF60" t="str">
            <v>Santa Rosa</v>
          </cell>
        </row>
        <row r="61">
          <cell r="A61">
            <v>59</v>
          </cell>
          <cell r="B61" t="str">
            <v>BG</v>
          </cell>
          <cell r="AE61">
            <v>58</v>
          </cell>
          <cell r="AF61" t="str">
            <v>Sarasota</v>
          </cell>
        </row>
        <row r="62">
          <cell r="A62">
            <v>60</v>
          </cell>
          <cell r="B62" t="str">
            <v>BH</v>
          </cell>
          <cell r="AE62">
            <v>59</v>
          </cell>
          <cell r="AF62" t="str">
            <v>Seminole</v>
          </cell>
        </row>
        <row r="63">
          <cell r="A63">
            <v>61</v>
          </cell>
          <cell r="B63" t="str">
            <v>BI</v>
          </cell>
          <cell r="AE63">
            <v>60</v>
          </cell>
          <cell r="AF63" t="str">
            <v>Sumter</v>
          </cell>
        </row>
        <row r="64">
          <cell r="A64">
            <v>62</v>
          </cell>
          <cell r="B64" t="str">
            <v>BJ</v>
          </cell>
          <cell r="AE64">
            <v>61</v>
          </cell>
          <cell r="AF64" t="str">
            <v>Suwannee</v>
          </cell>
        </row>
        <row r="65">
          <cell r="A65">
            <v>63</v>
          </cell>
          <cell r="B65" t="str">
            <v>BK</v>
          </cell>
          <cell r="AE65">
            <v>62</v>
          </cell>
          <cell r="AF65" t="str">
            <v>Taylor</v>
          </cell>
        </row>
        <row r="66">
          <cell r="A66">
            <v>64</v>
          </cell>
          <cell r="B66" t="str">
            <v>BL</v>
          </cell>
          <cell r="AE66">
            <v>63</v>
          </cell>
          <cell r="AF66" t="str">
            <v>Union</v>
          </cell>
        </row>
        <row r="67">
          <cell r="A67">
            <v>65</v>
          </cell>
          <cell r="B67" t="str">
            <v>BM</v>
          </cell>
          <cell r="AE67">
            <v>64</v>
          </cell>
          <cell r="AF67" t="str">
            <v>Volusia</v>
          </cell>
        </row>
        <row r="68">
          <cell r="A68">
            <v>66</v>
          </cell>
          <cell r="B68" t="str">
            <v>BN</v>
          </cell>
          <cell r="AE68">
            <v>65</v>
          </cell>
          <cell r="AF68" t="str">
            <v>Wakulla</v>
          </cell>
        </row>
        <row r="69">
          <cell r="A69">
            <v>67</v>
          </cell>
          <cell r="B69" t="str">
            <v>BO</v>
          </cell>
          <cell r="AE69">
            <v>66</v>
          </cell>
          <cell r="AF69" t="str">
            <v>Walton</v>
          </cell>
        </row>
        <row r="70">
          <cell r="A70">
            <v>68</v>
          </cell>
          <cell r="B70" t="str">
            <v>BP</v>
          </cell>
          <cell r="AE70">
            <v>67</v>
          </cell>
          <cell r="AF70" t="str">
            <v>Washington</v>
          </cell>
        </row>
        <row r="71">
          <cell r="A71">
            <v>69</v>
          </cell>
          <cell r="B71" t="str">
            <v>BQ</v>
          </cell>
          <cell r="AE71">
            <v>68</v>
          </cell>
          <cell r="AF71" t="str">
            <v>Washington Special</v>
          </cell>
        </row>
        <row r="72">
          <cell r="A72">
            <v>70</v>
          </cell>
          <cell r="B72" t="str">
            <v>BR</v>
          </cell>
          <cell r="AE72">
            <v>69</v>
          </cell>
          <cell r="AF72" t="str">
            <v>FAMU Lab School</v>
          </cell>
        </row>
        <row r="73">
          <cell r="A73">
            <v>71</v>
          </cell>
          <cell r="B73" t="str">
            <v>BS</v>
          </cell>
          <cell r="AE73">
            <v>70</v>
          </cell>
          <cell r="AF73" t="str">
            <v>FAU Lab School</v>
          </cell>
        </row>
        <row r="74">
          <cell r="A74">
            <v>72</v>
          </cell>
          <cell r="B74" t="str">
            <v>BT</v>
          </cell>
          <cell r="AE74">
            <v>71</v>
          </cell>
          <cell r="AF74" t="str">
            <v>FAU St. Lucie</v>
          </cell>
        </row>
        <row r="75">
          <cell r="A75">
            <v>73</v>
          </cell>
          <cell r="B75" t="str">
            <v>BU</v>
          </cell>
          <cell r="AE75">
            <v>72</v>
          </cell>
          <cell r="AF75" t="str">
            <v>FSU Lab - Broward</v>
          </cell>
        </row>
        <row r="76">
          <cell r="A76">
            <v>74</v>
          </cell>
          <cell r="B76" t="str">
            <v>BV</v>
          </cell>
          <cell r="AE76">
            <v>73</v>
          </cell>
          <cell r="AF76" t="str">
            <v>FSU Lab - Leon</v>
          </cell>
        </row>
        <row r="77">
          <cell r="A77">
            <v>75</v>
          </cell>
          <cell r="B77" t="str">
            <v>BW</v>
          </cell>
          <cell r="AE77">
            <v>74</v>
          </cell>
          <cell r="AF77" t="str">
            <v>UF Lab School</v>
          </cell>
        </row>
        <row r="78">
          <cell r="A78">
            <v>76</v>
          </cell>
          <cell r="B78" t="str">
            <v>BX</v>
          </cell>
          <cell r="AE78">
            <v>75</v>
          </cell>
          <cell r="AF78" t="str">
            <v>Virtual School</v>
          </cell>
        </row>
        <row r="79">
          <cell r="A79">
            <v>77</v>
          </cell>
          <cell r="B79" t="str">
            <v>BY</v>
          </cell>
        </row>
        <row r="80">
          <cell r="A80">
            <v>78</v>
          </cell>
          <cell r="B80" t="str">
            <v>BZ</v>
          </cell>
        </row>
        <row r="81">
          <cell r="A81">
            <v>79</v>
          </cell>
          <cell r="B81" t="str">
            <v>CA</v>
          </cell>
        </row>
        <row r="82">
          <cell r="A82">
            <v>80</v>
          </cell>
          <cell r="B82" t="str">
            <v>CB</v>
          </cell>
        </row>
        <row r="83">
          <cell r="A83">
            <v>81</v>
          </cell>
          <cell r="B83" t="str">
            <v>CC</v>
          </cell>
        </row>
        <row r="84">
          <cell r="A84">
            <v>82</v>
          </cell>
          <cell r="B84" t="str">
            <v>CD</v>
          </cell>
        </row>
        <row r="85">
          <cell r="A85">
            <v>83</v>
          </cell>
          <cell r="B85" t="str">
            <v>CE</v>
          </cell>
        </row>
        <row r="86">
          <cell r="A86">
            <v>84</v>
          </cell>
          <cell r="B86" t="str">
            <v>CF</v>
          </cell>
        </row>
        <row r="87">
          <cell r="A87">
            <v>85</v>
          </cell>
          <cell r="B87" t="str">
            <v>CG</v>
          </cell>
        </row>
        <row r="88">
          <cell r="A88">
            <v>86</v>
          </cell>
          <cell r="B88" t="str">
            <v>CH</v>
          </cell>
        </row>
        <row r="89">
          <cell r="A89">
            <v>87</v>
          </cell>
          <cell r="B89" t="str">
            <v>CI</v>
          </cell>
        </row>
        <row r="90">
          <cell r="A90">
            <v>88</v>
          </cell>
          <cell r="B90" t="str">
            <v>CJ</v>
          </cell>
        </row>
        <row r="91">
          <cell r="A91">
            <v>89</v>
          </cell>
          <cell r="B91" t="str">
            <v>CK</v>
          </cell>
        </row>
        <row r="92">
          <cell r="A92">
            <v>90</v>
          </cell>
          <cell r="B92" t="str">
            <v>CL</v>
          </cell>
        </row>
        <row r="93">
          <cell r="A93">
            <v>91</v>
          </cell>
          <cell r="B93" t="str">
            <v>CM</v>
          </cell>
        </row>
        <row r="94">
          <cell r="A94">
            <v>92</v>
          </cell>
          <cell r="B94" t="str">
            <v>CN</v>
          </cell>
        </row>
        <row r="95">
          <cell r="A95">
            <v>93</v>
          </cell>
          <cell r="B95" t="str">
            <v>CO</v>
          </cell>
        </row>
        <row r="96">
          <cell r="A96">
            <v>94</v>
          </cell>
          <cell r="B96" t="str">
            <v>CP</v>
          </cell>
        </row>
        <row r="97">
          <cell r="A97">
            <v>95</v>
          </cell>
          <cell r="B97" t="str">
            <v>CQ</v>
          </cell>
        </row>
        <row r="98">
          <cell r="A98">
            <v>96</v>
          </cell>
          <cell r="B98" t="str">
            <v>CR</v>
          </cell>
        </row>
        <row r="99">
          <cell r="A99">
            <v>97</v>
          </cell>
          <cell r="B99" t="str">
            <v>CS</v>
          </cell>
        </row>
        <row r="100">
          <cell r="A100">
            <v>98</v>
          </cell>
          <cell r="B100" t="str">
            <v>CT</v>
          </cell>
        </row>
        <row r="101">
          <cell r="A101">
            <v>99</v>
          </cell>
          <cell r="B101" t="str">
            <v>CU</v>
          </cell>
        </row>
        <row r="102">
          <cell r="A102">
            <v>100</v>
          </cell>
          <cell r="B102" t="str">
            <v>CV</v>
          </cell>
        </row>
        <row r="103">
          <cell r="A103">
            <v>101</v>
          </cell>
          <cell r="B103" t="str">
            <v>CW</v>
          </cell>
        </row>
        <row r="104">
          <cell r="A104">
            <v>102</v>
          </cell>
          <cell r="B104" t="str">
            <v>CX</v>
          </cell>
        </row>
        <row r="105">
          <cell r="A105">
            <v>103</v>
          </cell>
          <cell r="B105" t="str">
            <v>CY</v>
          </cell>
        </row>
        <row r="106">
          <cell r="A106">
            <v>104</v>
          </cell>
          <cell r="B106" t="str">
            <v>CZ</v>
          </cell>
        </row>
      </sheetData>
      <sheetData sheetId="27">
        <row r="5">
          <cell r="F5">
            <v>5100</v>
          </cell>
          <cell r="G5" t="str">
            <v>Basic Instruction</v>
          </cell>
          <cell r="I5">
            <v>0</v>
          </cell>
          <cell r="J5">
            <v>0</v>
          </cell>
          <cell r="K5">
            <v>0</v>
          </cell>
          <cell r="L5">
            <v>0</v>
          </cell>
          <cell r="M5">
            <v>0</v>
          </cell>
          <cell r="N5">
            <v>0</v>
          </cell>
          <cell r="O5">
            <v>0</v>
          </cell>
          <cell r="P5">
            <v>0</v>
          </cell>
          <cell r="Q5">
            <v>0</v>
          </cell>
          <cell r="R5">
            <v>0</v>
          </cell>
          <cell r="S5">
            <v>0</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28">
        <row r="5">
          <cell r="F5">
            <v>5100</v>
          </cell>
          <cell r="G5" t="str">
            <v>Basic Instruction</v>
          </cell>
          <cell r="H5">
            <v>1</v>
          </cell>
          <cell r="I5">
            <v>0</v>
          </cell>
          <cell r="J5">
            <v>1</v>
          </cell>
          <cell r="K5">
            <v>0</v>
          </cell>
          <cell r="L5">
            <v>0</v>
          </cell>
          <cell r="M5">
            <v>0</v>
          </cell>
          <cell r="N5">
            <v>0</v>
          </cell>
          <cell r="O5">
            <v>0</v>
          </cell>
          <cell r="P5">
            <v>7.6499999999999999E-2</v>
          </cell>
          <cell r="Q5">
            <v>0</v>
          </cell>
          <cell r="R5">
            <v>1.2500000000000001E-2</v>
          </cell>
          <cell r="S5">
            <v>2.7E-2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29">
        <row r="5">
          <cell r="F5">
            <v>5100</v>
          </cell>
          <cell r="G5" t="str">
            <v>Basic Instruction</v>
          </cell>
          <cell r="I5">
            <v>0</v>
          </cell>
          <cell r="J5">
            <v>2</v>
          </cell>
          <cell r="K5">
            <v>0</v>
          </cell>
          <cell r="L5">
            <v>0</v>
          </cell>
          <cell r="M5">
            <v>0</v>
          </cell>
          <cell r="N5">
            <v>0</v>
          </cell>
          <cell r="O5">
            <v>0</v>
          </cell>
          <cell r="P5">
            <v>0.153</v>
          </cell>
          <cell r="Q5">
            <v>0</v>
          </cell>
          <cell r="R5">
            <v>2.5000000000000001E-2</v>
          </cell>
          <cell r="S5">
            <v>5.3999999999999999E-2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0">
        <row r="5">
          <cell r="F5">
            <v>5100</v>
          </cell>
          <cell r="G5" t="str">
            <v>Basic Instruction</v>
          </cell>
          <cell r="I5">
            <v>0</v>
          </cell>
          <cell r="J5">
            <v>3</v>
          </cell>
          <cell r="K5">
            <v>0</v>
          </cell>
          <cell r="L5">
            <v>0</v>
          </cell>
          <cell r="M5">
            <v>0</v>
          </cell>
          <cell r="N5">
            <v>0</v>
          </cell>
          <cell r="O5">
            <v>0</v>
          </cell>
          <cell r="P5">
            <v>0.22949999999999998</v>
          </cell>
          <cell r="Q5">
            <v>0</v>
          </cell>
          <cell r="R5">
            <v>3.7500000000000006E-2</v>
          </cell>
          <cell r="S5">
            <v>8.1000000000000003E-2</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1">
        <row r="5">
          <cell r="F5">
            <v>5100</v>
          </cell>
          <cell r="G5" t="str">
            <v>Basic Instruction</v>
          </cell>
          <cell r="I5">
            <v>0</v>
          </cell>
          <cell r="J5">
            <v>4</v>
          </cell>
          <cell r="K5">
            <v>0</v>
          </cell>
          <cell r="L5">
            <v>0</v>
          </cell>
          <cell r="M5">
            <v>0</v>
          </cell>
          <cell r="N5">
            <v>0</v>
          </cell>
          <cell r="O5">
            <v>0</v>
          </cell>
          <cell r="P5">
            <v>0.30599999999999999</v>
          </cell>
          <cell r="Q5">
            <v>0</v>
          </cell>
          <cell r="R5">
            <v>0.05</v>
          </cell>
          <cell r="S5">
            <v>0.108</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2">
        <row r="5">
          <cell r="F5">
            <v>5100</v>
          </cell>
          <cell r="G5" t="str">
            <v>Basic Instruction</v>
          </cell>
          <cell r="I5">
            <v>0</v>
          </cell>
          <cell r="J5">
            <v>5</v>
          </cell>
          <cell r="K5">
            <v>0</v>
          </cell>
          <cell r="L5">
            <v>0</v>
          </cell>
          <cell r="M5">
            <v>0</v>
          </cell>
          <cell r="N5">
            <v>0</v>
          </cell>
          <cell r="O5">
            <v>0</v>
          </cell>
          <cell r="P5">
            <v>0.38250000000000001</v>
          </cell>
          <cell r="Q5">
            <v>0</v>
          </cell>
          <cell r="R5">
            <v>6.25E-2</v>
          </cell>
          <cell r="S5">
            <v>0.13500000000000001</v>
          </cell>
          <cell r="T5">
            <v>0</v>
          </cell>
          <cell r="U5">
            <v>0</v>
          </cell>
        </row>
        <row r="6">
          <cell r="F6">
            <v>5200</v>
          </cell>
          <cell r="G6" t="str">
            <v>Exceptional Education</v>
          </cell>
          <cell r="I6">
            <v>0</v>
          </cell>
          <cell r="J6">
            <v>0</v>
          </cell>
          <cell r="K6">
            <v>0</v>
          </cell>
          <cell r="L6">
            <v>0</v>
          </cell>
          <cell r="M6">
            <v>0</v>
          </cell>
          <cell r="N6">
            <v>0</v>
          </cell>
          <cell r="O6">
            <v>0</v>
          </cell>
          <cell r="P6">
            <v>0</v>
          </cell>
          <cell r="Q6">
            <v>0</v>
          </cell>
          <cell r="R6">
            <v>0</v>
          </cell>
          <cell r="S6">
            <v>0</v>
          </cell>
          <cell r="T6">
            <v>0</v>
          </cell>
          <cell r="U6">
            <v>0</v>
          </cell>
        </row>
        <row r="7">
          <cell r="F7">
            <v>6100</v>
          </cell>
          <cell r="G7" t="str">
            <v>Pupil Services</v>
          </cell>
          <cell r="I7">
            <v>0</v>
          </cell>
          <cell r="J7">
            <v>0</v>
          </cell>
          <cell r="K7">
            <v>0</v>
          </cell>
          <cell r="L7">
            <v>0</v>
          </cell>
          <cell r="M7">
            <v>0</v>
          </cell>
          <cell r="N7">
            <v>0</v>
          </cell>
          <cell r="O7">
            <v>0</v>
          </cell>
          <cell r="P7">
            <v>0</v>
          </cell>
          <cell r="Q7">
            <v>0</v>
          </cell>
          <cell r="R7">
            <v>0</v>
          </cell>
          <cell r="S7">
            <v>0</v>
          </cell>
          <cell r="T7">
            <v>0</v>
          </cell>
          <cell r="U7">
            <v>0</v>
          </cell>
        </row>
        <row r="8">
          <cell r="F8">
            <v>6200</v>
          </cell>
          <cell r="G8" t="str">
            <v>Instructional Media Services</v>
          </cell>
          <cell r="I8">
            <v>0</v>
          </cell>
          <cell r="J8">
            <v>0</v>
          </cell>
          <cell r="K8">
            <v>0</v>
          </cell>
          <cell r="L8">
            <v>0</v>
          </cell>
          <cell r="M8">
            <v>0</v>
          </cell>
          <cell r="N8">
            <v>0</v>
          </cell>
          <cell r="O8">
            <v>0</v>
          </cell>
          <cell r="P8">
            <v>0</v>
          </cell>
          <cell r="Q8">
            <v>0</v>
          </cell>
          <cell r="R8">
            <v>0</v>
          </cell>
          <cell r="S8">
            <v>0</v>
          </cell>
          <cell r="T8">
            <v>0</v>
          </cell>
          <cell r="U8">
            <v>0</v>
          </cell>
        </row>
        <row r="9">
          <cell r="F9">
            <v>6300</v>
          </cell>
          <cell r="G9" t="str">
            <v>Instructional/Curriculum Development</v>
          </cell>
          <cell r="I9">
            <v>0</v>
          </cell>
          <cell r="J9">
            <v>0</v>
          </cell>
          <cell r="K9">
            <v>0</v>
          </cell>
          <cell r="L9">
            <v>0</v>
          </cell>
          <cell r="M9">
            <v>0</v>
          </cell>
          <cell r="N9">
            <v>0</v>
          </cell>
          <cell r="O9">
            <v>0</v>
          </cell>
          <cell r="P9">
            <v>0</v>
          </cell>
          <cell r="Q9">
            <v>0</v>
          </cell>
          <cell r="R9">
            <v>0</v>
          </cell>
          <cell r="S9">
            <v>0</v>
          </cell>
          <cell r="T9">
            <v>0</v>
          </cell>
          <cell r="U9">
            <v>0</v>
          </cell>
        </row>
        <row r="10">
          <cell r="F10">
            <v>6400</v>
          </cell>
          <cell r="G10" t="str">
            <v>Instructional Staff Training</v>
          </cell>
          <cell r="I10">
            <v>0</v>
          </cell>
          <cell r="J10">
            <v>0</v>
          </cell>
          <cell r="K10">
            <v>0</v>
          </cell>
          <cell r="L10">
            <v>0</v>
          </cell>
          <cell r="M10">
            <v>0</v>
          </cell>
          <cell r="N10">
            <v>0</v>
          </cell>
          <cell r="O10">
            <v>0</v>
          </cell>
          <cell r="P10">
            <v>0</v>
          </cell>
          <cell r="Q10">
            <v>0</v>
          </cell>
          <cell r="R10">
            <v>0</v>
          </cell>
          <cell r="S10">
            <v>0</v>
          </cell>
          <cell r="T10">
            <v>0</v>
          </cell>
          <cell r="U10">
            <v>0</v>
          </cell>
        </row>
        <row r="11">
          <cell r="F11">
            <v>6500</v>
          </cell>
          <cell r="G11" t="str">
            <v>Instructional-Related Technology</v>
          </cell>
          <cell r="I11">
            <v>0</v>
          </cell>
          <cell r="J11">
            <v>0</v>
          </cell>
          <cell r="K11">
            <v>0</v>
          </cell>
          <cell r="L11">
            <v>0</v>
          </cell>
          <cell r="M11">
            <v>0</v>
          </cell>
          <cell r="N11">
            <v>0</v>
          </cell>
          <cell r="O11">
            <v>0</v>
          </cell>
          <cell r="P11">
            <v>0</v>
          </cell>
          <cell r="Q11">
            <v>0</v>
          </cell>
          <cell r="R11">
            <v>0</v>
          </cell>
          <cell r="S11">
            <v>0</v>
          </cell>
          <cell r="T11">
            <v>0</v>
          </cell>
          <cell r="U11">
            <v>0</v>
          </cell>
        </row>
        <row r="12">
          <cell r="F12">
            <v>7100</v>
          </cell>
          <cell r="G12" t="str">
            <v>Board</v>
          </cell>
          <cell r="I12">
            <v>0</v>
          </cell>
          <cell r="J12">
            <v>0</v>
          </cell>
          <cell r="K12">
            <v>0</v>
          </cell>
          <cell r="L12">
            <v>0</v>
          </cell>
          <cell r="M12">
            <v>0</v>
          </cell>
          <cell r="N12">
            <v>0</v>
          </cell>
          <cell r="O12">
            <v>0</v>
          </cell>
          <cell r="P12">
            <v>0</v>
          </cell>
          <cell r="Q12">
            <v>0</v>
          </cell>
          <cell r="R12">
            <v>0</v>
          </cell>
          <cell r="S12">
            <v>0</v>
          </cell>
          <cell r="T12">
            <v>0</v>
          </cell>
          <cell r="U12">
            <v>0</v>
          </cell>
        </row>
        <row r="13">
          <cell r="F13">
            <v>7300</v>
          </cell>
          <cell r="G13" t="str">
            <v>School Administration</v>
          </cell>
          <cell r="I13">
            <v>0</v>
          </cell>
          <cell r="J13">
            <v>0</v>
          </cell>
          <cell r="K13">
            <v>0</v>
          </cell>
          <cell r="L13">
            <v>0</v>
          </cell>
          <cell r="M13">
            <v>0</v>
          </cell>
          <cell r="N13">
            <v>0</v>
          </cell>
          <cell r="O13">
            <v>0</v>
          </cell>
          <cell r="P13">
            <v>0</v>
          </cell>
          <cell r="Q13">
            <v>0</v>
          </cell>
          <cell r="R13">
            <v>0</v>
          </cell>
          <cell r="S13">
            <v>0</v>
          </cell>
          <cell r="T13">
            <v>0</v>
          </cell>
          <cell r="U13">
            <v>0</v>
          </cell>
        </row>
        <row r="14">
          <cell r="F14">
            <v>7500</v>
          </cell>
          <cell r="G14" t="str">
            <v>Fiscal Services</v>
          </cell>
          <cell r="I14">
            <v>0</v>
          </cell>
          <cell r="J14">
            <v>0</v>
          </cell>
          <cell r="K14">
            <v>0</v>
          </cell>
          <cell r="L14">
            <v>0</v>
          </cell>
          <cell r="M14">
            <v>0</v>
          </cell>
          <cell r="N14">
            <v>0</v>
          </cell>
          <cell r="O14">
            <v>0</v>
          </cell>
          <cell r="P14">
            <v>0</v>
          </cell>
          <cell r="Q14">
            <v>0</v>
          </cell>
          <cell r="R14">
            <v>0</v>
          </cell>
          <cell r="S14">
            <v>0</v>
          </cell>
          <cell r="T14">
            <v>0</v>
          </cell>
          <cell r="U14">
            <v>0</v>
          </cell>
        </row>
        <row r="15">
          <cell r="F15">
            <v>7600</v>
          </cell>
          <cell r="G15" t="str">
            <v>Food Services</v>
          </cell>
          <cell r="I15">
            <v>0</v>
          </cell>
          <cell r="J15">
            <v>0</v>
          </cell>
          <cell r="K15">
            <v>0</v>
          </cell>
          <cell r="L15">
            <v>0</v>
          </cell>
          <cell r="M15">
            <v>0</v>
          </cell>
          <cell r="N15">
            <v>0</v>
          </cell>
          <cell r="O15">
            <v>0</v>
          </cell>
          <cell r="P15">
            <v>0</v>
          </cell>
          <cell r="Q15">
            <v>0</v>
          </cell>
          <cell r="R15">
            <v>0</v>
          </cell>
          <cell r="S15">
            <v>0</v>
          </cell>
          <cell r="T15">
            <v>0</v>
          </cell>
          <cell r="U15">
            <v>0</v>
          </cell>
        </row>
        <row r="16">
          <cell r="F16">
            <v>7800</v>
          </cell>
          <cell r="G16" t="str">
            <v>Pupil Transportation</v>
          </cell>
          <cell r="I16">
            <v>0</v>
          </cell>
          <cell r="J16">
            <v>0</v>
          </cell>
          <cell r="K16">
            <v>0</v>
          </cell>
          <cell r="L16">
            <v>0</v>
          </cell>
          <cell r="M16">
            <v>0</v>
          </cell>
          <cell r="N16">
            <v>0</v>
          </cell>
          <cell r="O16">
            <v>0</v>
          </cell>
          <cell r="P16">
            <v>0</v>
          </cell>
          <cell r="Q16">
            <v>0</v>
          </cell>
          <cell r="R16">
            <v>0</v>
          </cell>
          <cell r="S16">
            <v>0</v>
          </cell>
          <cell r="T16">
            <v>0</v>
          </cell>
          <cell r="U16">
            <v>0</v>
          </cell>
        </row>
        <row r="17">
          <cell r="F17">
            <v>7900</v>
          </cell>
          <cell r="G17" t="str">
            <v>Operation of Plant</v>
          </cell>
          <cell r="I17">
            <v>0</v>
          </cell>
          <cell r="J17">
            <v>0</v>
          </cell>
          <cell r="K17">
            <v>0</v>
          </cell>
          <cell r="L17">
            <v>0</v>
          </cell>
          <cell r="M17">
            <v>0</v>
          </cell>
          <cell r="N17">
            <v>0</v>
          </cell>
          <cell r="O17">
            <v>0</v>
          </cell>
          <cell r="P17">
            <v>0</v>
          </cell>
          <cell r="Q17">
            <v>0</v>
          </cell>
          <cell r="R17">
            <v>0</v>
          </cell>
          <cell r="S17">
            <v>0</v>
          </cell>
          <cell r="T17">
            <v>0</v>
          </cell>
          <cell r="U17">
            <v>0</v>
          </cell>
        </row>
        <row r="18">
          <cell r="F18">
            <v>9100</v>
          </cell>
          <cell r="G18" t="str">
            <v>Community Service</v>
          </cell>
          <cell r="I18">
            <v>0</v>
          </cell>
          <cell r="J18">
            <v>0</v>
          </cell>
          <cell r="K18">
            <v>0</v>
          </cell>
          <cell r="L18">
            <v>0</v>
          </cell>
          <cell r="M18">
            <v>0</v>
          </cell>
          <cell r="N18">
            <v>0</v>
          </cell>
          <cell r="O18">
            <v>0</v>
          </cell>
          <cell r="P18">
            <v>0</v>
          </cell>
          <cell r="Q18">
            <v>0</v>
          </cell>
          <cell r="R18">
            <v>0</v>
          </cell>
          <cell r="S18">
            <v>0</v>
          </cell>
          <cell r="T18">
            <v>0</v>
          </cell>
          <cell r="U18">
            <v>0</v>
          </cell>
        </row>
      </sheetData>
      <sheetData sheetId="33"/>
      <sheetData sheetId="34"/>
      <sheetData sheetId="35"/>
      <sheetData sheetId="36"/>
      <sheetData sheetId="37"/>
      <sheetData sheetId="38">
        <row r="3">
          <cell r="A3" t="str">
            <v>Based on the 2015-16 FEFP Conference Report</v>
          </cell>
        </row>
      </sheetData>
      <sheetData sheetId="39"/>
      <sheetData sheetId="40"/>
      <sheetData sheetId="41"/>
      <sheetData sheetId="4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charter school calculator"/>
      <sheetName val="Detail 2023-24 FEFP Conference"/>
      <sheetName val="Transportation Per Student"/>
      <sheetName val="75% or more ESE Calc"/>
    </sheetNames>
    <sheetDataSet>
      <sheetData sheetId="0">
        <row r="1">
          <cell r="A1">
            <v>1</v>
          </cell>
        </row>
      </sheetData>
      <sheetData sheetId="1">
        <row r="1">
          <cell r="A1" t="str">
            <v>Charter School Worksheet DATA</v>
          </cell>
        </row>
        <row r="2">
          <cell r="D2" t="str">
            <v>Small District Factor</v>
          </cell>
        </row>
        <row r="3">
          <cell r="A3">
            <v>1</v>
          </cell>
          <cell r="D3">
            <v>0</v>
          </cell>
        </row>
        <row r="4">
          <cell r="A4">
            <v>2</v>
          </cell>
          <cell r="D4">
            <v>1.0277000000000001</v>
          </cell>
        </row>
        <row r="5">
          <cell r="A5">
            <v>3</v>
          </cell>
          <cell r="D5">
            <v>0</v>
          </cell>
        </row>
        <row r="6">
          <cell r="A6">
            <v>4</v>
          </cell>
          <cell r="D6">
            <v>1.0277000000000001</v>
          </cell>
        </row>
        <row r="7">
          <cell r="A7">
            <v>5</v>
          </cell>
          <cell r="D7">
            <v>0</v>
          </cell>
        </row>
        <row r="8">
          <cell r="A8">
            <v>6</v>
          </cell>
          <cell r="D8">
            <v>0</v>
          </cell>
        </row>
        <row r="9">
          <cell r="A9">
            <v>7</v>
          </cell>
          <cell r="D9">
            <v>1.0277000000000001</v>
          </cell>
        </row>
        <row r="10">
          <cell r="A10">
            <v>8</v>
          </cell>
          <cell r="D10">
            <v>0</v>
          </cell>
        </row>
        <row r="11">
          <cell r="A11">
            <v>9</v>
          </cell>
          <cell r="D11">
            <v>0</v>
          </cell>
        </row>
        <row r="12">
          <cell r="A12">
            <v>10</v>
          </cell>
          <cell r="D12">
            <v>0</v>
          </cell>
        </row>
        <row r="13">
          <cell r="A13">
            <v>11</v>
          </cell>
          <cell r="D13">
            <v>0</v>
          </cell>
        </row>
        <row r="14">
          <cell r="A14">
            <v>12</v>
          </cell>
          <cell r="D14">
            <v>1.0277000000000001</v>
          </cell>
        </row>
        <row r="15">
          <cell r="A15">
            <v>13</v>
          </cell>
          <cell r="D15">
            <v>0</v>
          </cell>
        </row>
        <row r="16">
          <cell r="A16">
            <v>14</v>
          </cell>
          <cell r="D16">
            <v>1.0277000000000001</v>
          </cell>
        </row>
        <row r="17">
          <cell r="A17">
            <v>15</v>
          </cell>
          <cell r="D17">
            <v>1.0277000000000001</v>
          </cell>
        </row>
        <row r="18">
          <cell r="A18">
            <v>16</v>
          </cell>
          <cell r="D18">
            <v>0</v>
          </cell>
        </row>
        <row r="19">
          <cell r="A19">
            <v>17</v>
          </cell>
          <cell r="D19">
            <v>0</v>
          </cell>
        </row>
        <row r="20">
          <cell r="A20">
            <v>18</v>
          </cell>
          <cell r="D20">
            <v>0</v>
          </cell>
        </row>
        <row r="21">
          <cell r="A21">
            <v>19</v>
          </cell>
          <cell r="D21">
            <v>1.0277000000000001</v>
          </cell>
        </row>
        <row r="22">
          <cell r="A22">
            <v>20</v>
          </cell>
          <cell r="D22">
            <v>1.0277000000000001</v>
          </cell>
        </row>
        <row r="23">
          <cell r="A23">
            <v>21</v>
          </cell>
          <cell r="D23">
            <v>1.0277000000000001</v>
          </cell>
        </row>
        <row r="24">
          <cell r="A24">
            <v>22</v>
          </cell>
          <cell r="D24">
            <v>1.0277000000000001</v>
          </cell>
        </row>
        <row r="25">
          <cell r="A25">
            <v>23</v>
          </cell>
          <cell r="D25">
            <v>1.0277000000000001</v>
          </cell>
        </row>
        <row r="26">
          <cell r="A26">
            <v>24</v>
          </cell>
          <cell r="D26">
            <v>1.0277000000000001</v>
          </cell>
        </row>
        <row r="27">
          <cell r="A27">
            <v>25</v>
          </cell>
          <cell r="D27">
            <v>1.0277000000000001</v>
          </cell>
        </row>
        <row r="28">
          <cell r="A28">
            <v>26</v>
          </cell>
          <cell r="D28">
            <v>1.0277000000000001</v>
          </cell>
        </row>
        <row r="29">
          <cell r="A29">
            <v>27</v>
          </cell>
          <cell r="D29">
            <v>0</v>
          </cell>
        </row>
        <row r="30">
          <cell r="A30">
            <v>28</v>
          </cell>
          <cell r="D30">
            <v>1.0277000000000001</v>
          </cell>
        </row>
        <row r="31">
          <cell r="A31">
            <v>29</v>
          </cell>
          <cell r="D31">
            <v>0</v>
          </cell>
        </row>
        <row r="32">
          <cell r="A32">
            <v>30</v>
          </cell>
          <cell r="D32">
            <v>1.0277000000000001</v>
          </cell>
        </row>
        <row r="33">
          <cell r="A33">
            <v>31</v>
          </cell>
          <cell r="D33">
            <v>0</v>
          </cell>
        </row>
        <row r="34">
          <cell r="A34">
            <v>32</v>
          </cell>
          <cell r="D34">
            <v>1.0277000000000001</v>
          </cell>
        </row>
        <row r="35">
          <cell r="A35">
            <v>33</v>
          </cell>
          <cell r="D35">
            <v>1.0277000000000001</v>
          </cell>
        </row>
        <row r="36">
          <cell r="A36">
            <v>34</v>
          </cell>
          <cell r="D36">
            <v>1.0277000000000001</v>
          </cell>
        </row>
        <row r="37">
          <cell r="A37">
            <v>35</v>
          </cell>
          <cell r="D37">
            <v>0</v>
          </cell>
        </row>
        <row r="38">
          <cell r="A38">
            <v>36</v>
          </cell>
          <cell r="D38">
            <v>0</v>
          </cell>
        </row>
        <row r="39">
          <cell r="A39">
            <v>37</v>
          </cell>
          <cell r="D39">
            <v>0</v>
          </cell>
        </row>
        <row r="40">
          <cell r="A40">
            <v>38</v>
          </cell>
          <cell r="D40">
            <v>1.0277000000000001</v>
          </cell>
        </row>
        <row r="41">
          <cell r="A41">
            <v>39</v>
          </cell>
          <cell r="D41">
            <v>1.0277000000000001</v>
          </cell>
        </row>
        <row r="42">
          <cell r="A42">
            <v>40</v>
          </cell>
          <cell r="D42">
            <v>1.0277000000000001</v>
          </cell>
        </row>
        <row r="43">
          <cell r="A43">
            <v>41</v>
          </cell>
          <cell r="D43">
            <v>0</v>
          </cell>
        </row>
        <row r="44">
          <cell r="A44">
            <v>42</v>
          </cell>
          <cell r="D44">
            <v>0</v>
          </cell>
        </row>
        <row r="45">
          <cell r="A45">
            <v>43</v>
          </cell>
          <cell r="D45">
            <v>0</v>
          </cell>
        </row>
        <row r="46">
          <cell r="A46">
            <v>44</v>
          </cell>
          <cell r="D46">
            <v>0</v>
          </cell>
        </row>
        <row r="47">
          <cell r="A47">
            <v>45</v>
          </cell>
          <cell r="D47">
            <v>0</v>
          </cell>
        </row>
        <row r="48">
          <cell r="A48">
            <v>46</v>
          </cell>
          <cell r="D48">
            <v>0</v>
          </cell>
        </row>
        <row r="49">
          <cell r="A49">
            <v>47</v>
          </cell>
          <cell r="D49">
            <v>1.0277000000000001</v>
          </cell>
        </row>
        <row r="50">
          <cell r="A50">
            <v>48</v>
          </cell>
          <cell r="D50">
            <v>0</v>
          </cell>
        </row>
        <row r="51">
          <cell r="A51">
            <v>49</v>
          </cell>
          <cell r="D51">
            <v>0</v>
          </cell>
        </row>
        <row r="52">
          <cell r="A52">
            <v>50</v>
          </cell>
          <cell r="D52">
            <v>0</v>
          </cell>
        </row>
        <row r="53">
          <cell r="A53">
            <v>51</v>
          </cell>
          <cell r="D53">
            <v>0</v>
          </cell>
        </row>
        <row r="54">
          <cell r="A54">
            <v>52</v>
          </cell>
          <cell r="D54">
            <v>0</v>
          </cell>
        </row>
        <row r="55">
          <cell r="A55">
            <v>53</v>
          </cell>
          <cell r="D55">
            <v>0</v>
          </cell>
        </row>
        <row r="56">
          <cell r="A56">
            <v>54</v>
          </cell>
          <cell r="D56">
            <v>1.0277000000000001</v>
          </cell>
        </row>
        <row r="57">
          <cell r="A57">
            <v>55</v>
          </cell>
          <cell r="D57">
            <v>0</v>
          </cell>
        </row>
        <row r="58">
          <cell r="A58">
            <v>56</v>
          </cell>
          <cell r="D58">
            <v>0</v>
          </cell>
        </row>
        <row r="59">
          <cell r="A59">
            <v>57</v>
          </cell>
          <cell r="D59">
            <v>0</v>
          </cell>
        </row>
        <row r="60">
          <cell r="A60">
            <v>58</v>
          </cell>
          <cell r="D60">
            <v>0</v>
          </cell>
        </row>
        <row r="61">
          <cell r="A61">
            <v>59</v>
          </cell>
          <cell r="D61">
            <v>0</v>
          </cell>
        </row>
        <row r="62">
          <cell r="A62">
            <v>60</v>
          </cell>
          <cell r="D62">
            <v>0</v>
          </cell>
        </row>
        <row r="63">
          <cell r="A63">
            <v>61</v>
          </cell>
          <cell r="D63">
            <v>1.0277000000000001</v>
          </cell>
        </row>
        <row r="64">
          <cell r="A64">
            <v>62</v>
          </cell>
          <cell r="D64">
            <v>1.0277000000000001</v>
          </cell>
        </row>
        <row r="65">
          <cell r="A65">
            <v>63</v>
          </cell>
          <cell r="D65">
            <v>1.0277000000000001</v>
          </cell>
        </row>
        <row r="66">
          <cell r="A66">
            <v>64</v>
          </cell>
          <cell r="D66">
            <v>0</v>
          </cell>
        </row>
        <row r="67">
          <cell r="A67">
            <v>65</v>
          </cell>
          <cell r="D67">
            <v>1.0277000000000001</v>
          </cell>
        </row>
        <row r="68">
          <cell r="A68">
            <v>66</v>
          </cell>
          <cell r="D68">
            <v>0</v>
          </cell>
        </row>
        <row r="69">
          <cell r="A69">
            <v>67</v>
          </cell>
          <cell r="D69">
            <v>1.0277000000000001</v>
          </cell>
        </row>
        <row r="70">
          <cell r="A70">
            <v>69</v>
          </cell>
          <cell r="D70">
            <v>0</v>
          </cell>
        </row>
        <row r="71">
          <cell r="A71">
            <v>70</v>
          </cell>
          <cell r="D71">
            <v>0</v>
          </cell>
        </row>
        <row r="72">
          <cell r="A72">
            <v>71</v>
          </cell>
          <cell r="D72">
            <v>0</v>
          </cell>
        </row>
        <row r="73">
          <cell r="A73">
            <v>72</v>
          </cell>
          <cell r="D73">
            <v>0</v>
          </cell>
        </row>
        <row r="74">
          <cell r="A74">
            <v>73</v>
          </cell>
          <cell r="D74">
            <v>0</v>
          </cell>
        </row>
        <row r="75">
          <cell r="A75">
            <v>74</v>
          </cell>
          <cell r="D75">
            <v>0</v>
          </cell>
        </row>
        <row r="76">
          <cell r="A76">
            <v>75</v>
          </cell>
          <cell r="D76">
            <v>0</v>
          </cell>
        </row>
        <row r="77">
          <cell r="A77">
            <v>76</v>
          </cell>
          <cell r="D77">
            <v>0</v>
          </cell>
        </row>
      </sheetData>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 charter school calculator"/>
      <sheetName val="Detail 2023-24 FEFP Conference"/>
      <sheetName val="Transportation Per Student"/>
      <sheetName val="75% or more ESE Calc"/>
    </sheetNames>
    <sheetDataSet>
      <sheetData sheetId="0" refreshError="1"/>
      <sheetData sheetId="1" refreshError="1"/>
      <sheetData sheetId="2" refreshError="1"/>
      <sheetData sheetId="3">
        <row r="91">
          <cell r="H91">
            <v>0</v>
          </cell>
        </row>
      </sheetData>
    </sheetDataSet>
  </externalBook>
</externalLink>
</file>

<file path=xl/persons/person.xml><?xml version="1.0" encoding="utf-8"?>
<personList xmlns="http://schemas.microsoft.com/office/spreadsheetml/2018/threadedcomments" xmlns:x="http://schemas.openxmlformats.org/spreadsheetml/2006/main">
  <person displayName="jason klein" id="{869DF9F2-CDC2-4838-AD13-25597BBE23E4}" userId="39ffa3edc1e0cf55" providerId="Windows Liv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1" dT="2023-07-10T19:51:07.52" personId="{869DF9F2-CDC2-4838-AD13-25597BBE23E4}" id="{B6B11D0D-7E36-411E-B0DA-42AD2154B4FD}">
    <text xml:space="preserve">National School Lunch Program
</text>
  </threadedComment>
  <threadedComment ref="E406" dT="2023-07-10T19:53:11.33" personId="{869DF9F2-CDC2-4838-AD13-25597BBE23E4}" id="{C8686745-E871-4CD9-AFE0-BAF7A357EFC4}">
    <text>School Board Admin Fee</text>
  </threadedComment>
  <threadedComment ref="E408" dT="2023-07-10T19:53:26.80" personId="{869DF9F2-CDC2-4838-AD13-25597BBE23E4}" id="{B9FA8548-2B93-4FEC-B852-31FC58421595}">
    <text>Management fee of 14%, similar to previous years.</text>
  </threadedComment>
  <threadedComment ref="E412" dT="2023-07-10T19:53:46.03" personId="{869DF9F2-CDC2-4838-AD13-25597BBE23E4}" id="{5759891B-F9DC-4B51-A6F7-C53DF9DB8239}">
    <text>Upgrade flooring, rooms and facilities</text>
  </threadedComment>
  <threadedComment ref="F469" dT="2023-07-07T16:12:10.01" personId="{869DF9F2-CDC2-4838-AD13-25597BBE23E4}" id="{935FA831-B789-4692-8B84-A3B5C48966FE}">
    <text xml:space="preserve">Part time food contractors
</text>
  </threadedComment>
  <threadedComment ref="E603" dT="2023-07-07T16:15:46.24" personId="{869DF9F2-CDC2-4838-AD13-25597BBE23E4}" id="{0FAC7318-EB07-45AB-9950-D8D81FD1404F}">
    <text xml:space="preserve">Custodial and Security services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179"/>
  <sheetViews>
    <sheetView topLeftCell="A69" zoomScale="67" zoomScaleNormal="67" workbookViewId="0">
      <selection activeCell="P51" sqref="P51"/>
    </sheetView>
  </sheetViews>
  <sheetFormatPr defaultColWidth="9.1796875" defaultRowHeight="15" x14ac:dyDescent="0.3"/>
  <cols>
    <col min="1" max="1" width="10.26953125" style="204" customWidth="1"/>
    <col min="2" max="2" width="35.54296875" style="172" customWidth="1"/>
    <col min="3" max="3" width="16.453125" style="172" customWidth="1"/>
    <col min="4" max="4" width="8.26953125" style="172" customWidth="1"/>
    <col min="5" max="5" width="14.54296875" style="172" customWidth="1"/>
    <col min="6" max="6" width="12.453125" style="172" customWidth="1"/>
    <col min="7" max="7" width="17.26953125" style="172" customWidth="1"/>
    <col min="8" max="8" width="62.453125" style="172" customWidth="1"/>
    <col min="9" max="9" width="5.1796875" style="172" customWidth="1"/>
    <col min="10" max="10" width="22.81640625" style="172" customWidth="1"/>
    <col min="11" max="11" width="15.54296875" style="173" customWidth="1"/>
    <col min="12" max="12" width="2" style="172" customWidth="1"/>
    <col min="13" max="13" width="7.26953125" style="172" customWidth="1"/>
    <col min="14" max="14" width="1.54296875" style="172" customWidth="1"/>
    <col min="15" max="15" width="1" style="172" customWidth="1"/>
    <col min="16" max="16" width="16.453125" style="174" customWidth="1"/>
    <col min="17" max="17" width="1.453125" style="174" customWidth="1"/>
    <col min="18" max="18" width="2.453125" style="172" customWidth="1"/>
    <col min="19" max="19" width="13" style="172" customWidth="1"/>
    <col min="20" max="20" width="3.1796875" style="172" customWidth="1"/>
    <col min="21" max="21" width="21.453125" style="175" customWidth="1"/>
    <col min="22" max="22" width="9.1796875" style="172"/>
    <col min="23" max="23" width="10" style="172" bestFit="1" customWidth="1"/>
    <col min="24" max="24" width="9.81640625" style="172" bestFit="1" customWidth="1"/>
    <col min="25" max="256" width="9.1796875" style="172"/>
    <col min="257" max="257" width="10.26953125" style="172" customWidth="1"/>
    <col min="258" max="258" width="34.26953125" style="172" customWidth="1"/>
    <col min="259" max="259" width="16.453125" style="172" customWidth="1"/>
    <col min="260" max="260" width="6.7265625" style="172" customWidth="1"/>
    <col min="261" max="261" width="14.54296875" style="172" customWidth="1"/>
    <col min="262" max="262" width="8" style="172" customWidth="1"/>
    <col min="263" max="263" width="15.453125" style="172" customWidth="1"/>
    <col min="264" max="264" width="23.7265625" style="172" bestFit="1" customWidth="1"/>
    <col min="265" max="265" width="29.1796875" style="172" bestFit="1" customWidth="1"/>
    <col min="266" max="266" width="22.81640625" style="172" customWidth="1"/>
    <col min="267" max="267" width="15.54296875" style="172" customWidth="1"/>
    <col min="268" max="268" width="2" style="172" customWidth="1"/>
    <col min="269" max="269" width="7.26953125" style="172" customWidth="1"/>
    <col min="270" max="270" width="1.54296875" style="172" customWidth="1"/>
    <col min="271" max="271" width="1" style="172" customWidth="1"/>
    <col min="272" max="272" width="16.453125" style="172" customWidth="1"/>
    <col min="273" max="273" width="1.453125" style="172" customWidth="1"/>
    <col min="274" max="274" width="2.453125" style="172" customWidth="1"/>
    <col min="275" max="275" width="13" style="172" customWidth="1"/>
    <col min="276" max="276" width="3.1796875" style="172" customWidth="1"/>
    <col min="277" max="277" width="21.453125" style="172" customWidth="1"/>
    <col min="278" max="278" width="9.1796875" style="172"/>
    <col min="279" max="279" width="10" style="172" bestFit="1" customWidth="1"/>
    <col min="280" max="280" width="9.81640625" style="172" bestFit="1" customWidth="1"/>
    <col min="281" max="512" width="9.1796875" style="172"/>
    <col min="513" max="513" width="10.26953125" style="172" customWidth="1"/>
    <col min="514" max="514" width="34.26953125" style="172" customWidth="1"/>
    <col min="515" max="515" width="16.453125" style="172" customWidth="1"/>
    <col min="516" max="516" width="6.7265625" style="172" customWidth="1"/>
    <col min="517" max="517" width="14.54296875" style="172" customWidth="1"/>
    <col min="518" max="518" width="8" style="172" customWidth="1"/>
    <col min="519" max="519" width="15.453125" style="172" customWidth="1"/>
    <col min="520" max="520" width="23.7265625" style="172" bestFit="1" customWidth="1"/>
    <col min="521" max="521" width="29.1796875" style="172" bestFit="1" customWidth="1"/>
    <col min="522" max="522" width="22.81640625" style="172" customWidth="1"/>
    <col min="523" max="523" width="15.54296875" style="172" customWidth="1"/>
    <col min="524" max="524" width="2" style="172" customWidth="1"/>
    <col min="525" max="525" width="7.26953125" style="172" customWidth="1"/>
    <col min="526" max="526" width="1.54296875" style="172" customWidth="1"/>
    <col min="527" max="527" width="1" style="172" customWidth="1"/>
    <col min="528" max="528" width="16.453125" style="172" customWidth="1"/>
    <col min="529" max="529" width="1.453125" style="172" customWidth="1"/>
    <col min="530" max="530" width="2.453125" style="172" customWidth="1"/>
    <col min="531" max="531" width="13" style="172" customWidth="1"/>
    <col min="532" max="532" width="3.1796875" style="172" customWidth="1"/>
    <col min="533" max="533" width="21.453125" style="172" customWidth="1"/>
    <col min="534" max="534" width="9.1796875" style="172"/>
    <col min="535" max="535" width="10" style="172" bestFit="1" customWidth="1"/>
    <col min="536" max="536" width="9.81640625" style="172" bestFit="1" customWidth="1"/>
    <col min="537" max="768" width="9.1796875" style="172"/>
    <col min="769" max="769" width="10.26953125" style="172" customWidth="1"/>
    <col min="770" max="770" width="34.26953125" style="172" customWidth="1"/>
    <col min="771" max="771" width="16.453125" style="172" customWidth="1"/>
    <col min="772" max="772" width="6.7265625" style="172" customWidth="1"/>
    <col min="773" max="773" width="14.54296875" style="172" customWidth="1"/>
    <col min="774" max="774" width="8" style="172" customWidth="1"/>
    <col min="775" max="775" width="15.453125" style="172" customWidth="1"/>
    <col min="776" max="776" width="23.7265625" style="172" bestFit="1" customWidth="1"/>
    <col min="777" max="777" width="29.1796875" style="172" bestFit="1" customWidth="1"/>
    <col min="778" max="778" width="22.81640625" style="172" customWidth="1"/>
    <col min="779" max="779" width="15.54296875" style="172" customWidth="1"/>
    <col min="780" max="780" width="2" style="172" customWidth="1"/>
    <col min="781" max="781" width="7.26953125" style="172" customWidth="1"/>
    <col min="782" max="782" width="1.54296875" style="172" customWidth="1"/>
    <col min="783" max="783" width="1" style="172" customWidth="1"/>
    <col min="784" max="784" width="16.453125" style="172" customWidth="1"/>
    <col min="785" max="785" width="1.453125" style="172" customWidth="1"/>
    <col min="786" max="786" width="2.453125" style="172" customWidth="1"/>
    <col min="787" max="787" width="13" style="172" customWidth="1"/>
    <col min="788" max="788" width="3.1796875" style="172" customWidth="1"/>
    <col min="789" max="789" width="21.453125" style="172" customWidth="1"/>
    <col min="790" max="790" width="9.1796875" style="172"/>
    <col min="791" max="791" width="10" style="172" bestFit="1" customWidth="1"/>
    <col min="792" max="792" width="9.81640625" style="172" bestFit="1" customWidth="1"/>
    <col min="793" max="1024" width="9.1796875" style="172"/>
    <col min="1025" max="1025" width="10.26953125" style="172" customWidth="1"/>
    <col min="1026" max="1026" width="34.26953125" style="172" customWidth="1"/>
    <col min="1027" max="1027" width="16.453125" style="172" customWidth="1"/>
    <col min="1028" max="1028" width="6.7265625" style="172" customWidth="1"/>
    <col min="1029" max="1029" width="14.54296875" style="172" customWidth="1"/>
    <col min="1030" max="1030" width="8" style="172" customWidth="1"/>
    <col min="1031" max="1031" width="15.453125" style="172" customWidth="1"/>
    <col min="1032" max="1032" width="23.7265625" style="172" bestFit="1" customWidth="1"/>
    <col min="1033" max="1033" width="29.1796875" style="172" bestFit="1" customWidth="1"/>
    <col min="1034" max="1034" width="22.81640625" style="172" customWidth="1"/>
    <col min="1035" max="1035" width="15.54296875" style="172" customWidth="1"/>
    <col min="1036" max="1036" width="2" style="172" customWidth="1"/>
    <col min="1037" max="1037" width="7.26953125" style="172" customWidth="1"/>
    <col min="1038" max="1038" width="1.54296875" style="172" customWidth="1"/>
    <col min="1039" max="1039" width="1" style="172" customWidth="1"/>
    <col min="1040" max="1040" width="16.453125" style="172" customWidth="1"/>
    <col min="1041" max="1041" width="1.453125" style="172" customWidth="1"/>
    <col min="1042" max="1042" width="2.453125" style="172" customWidth="1"/>
    <col min="1043" max="1043" width="13" style="172" customWidth="1"/>
    <col min="1044" max="1044" width="3.1796875" style="172" customWidth="1"/>
    <col min="1045" max="1045" width="21.453125" style="172" customWidth="1"/>
    <col min="1046" max="1046" width="9.1796875" style="172"/>
    <col min="1047" max="1047" width="10" style="172" bestFit="1" customWidth="1"/>
    <col min="1048" max="1048" width="9.81640625" style="172" bestFit="1" customWidth="1"/>
    <col min="1049" max="1280" width="9.1796875" style="172"/>
    <col min="1281" max="1281" width="10.26953125" style="172" customWidth="1"/>
    <col min="1282" max="1282" width="34.26953125" style="172" customWidth="1"/>
    <col min="1283" max="1283" width="16.453125" style="172" customWidth="1"/>
    <col min="1284" max="1284" width="6.7265625" style="172" customWidth="1"/>
    <col min="1285" max="1285" width="14.54296875" style="172" customWidth="1"/>
    <col min="1286" max="1286" width="8" style="172" customWidth="1"/>
    <col min="1287" max="1287" width="15.453125" style="172" customWidth="1"/>
    <col min="1288" max="1288" width="23.7265625" style="172" bestFit="1" customWidth="1"/>
    <col min="1289" max="1289" width="29.1796875" style="172" bestFit="1" customWidth="1"/>
    <col min="1290" max="1290" width="22.81640625" style="172" customWidth="1"/>
    <col min="1291" max="1291" width="15.54296875" style="172" customWidth="1"/>
    <col min="1292" max="1292" width="2" style="172" customWidth="1"/>
    <col min="1293" max="1293" width="7.26953125" style="172" customWidth="1"/>
    <col min="1294" max="1294" width="1.54296875" style="172" customWidth="1"/>
    <col min="1295" max="1295" width="1" style="172" customWidth="1"/>
    <col min="1296" max="1296" width="16.453125" style="172" customWidth="1"/>
    <col min="1297" max="1297" width="1.453125" style="172" customWidth="1"/>
    <col min="1298" max="1298" width="2.453125" style="172" customWidth="1"/>
    <col min="1299" max="1299" width="13" style="172" customWidth="1"/>
    <col min="1300" max="1300" width="3.1796875" style="172" customWidth="1"/>
    <col min="1301" max="1301" width="21.453125" style="172" customWidth="1"/>
    <col min="1302" max="1302" width="9.1796875" style="172"/>
    <col min="1303" max="1303" width="10" style="172" bestFit="1" customWidth="1"/>
    <col min="1304" max="1304" width="9.81640625" style="172" bestFit="1" customWidth="1"/>
    <col min="1305" max="1536" width="9.1796875" style="172"/>
    <col min="1537" max="1537" width="10.26953125" style="172" customWidth="1"/>
    <col min="1538" max="1538" width="34.26953125" style="172" customWidth="1"/>
    <col min="1539" max="1539" width="16.453125" style="172" customWidth="1"/>
    <col min="1540" max="1540" width="6.7265625" style="172" customWidth="1"/>
    <col min="1541" max="1541" width="14.54296875" style="172" customWidth="1"/>
    <col min="1542" max="1542" width="8" style="172" customWidth="1"/>
    <col min="1543" max="1543" width="15.453125" style="172" customWidth="1"/>
    <col min="1544" max="1544" width="23.7265625" style="172" bestFit="1" customWidth="1"/>
    <col min="1545" max="1545" width="29.1796875" style="172" bestFit="1" customWidth="1"/>
    <col min="1546" max="1546" width="22.81640625" style="172" customWidth="1"/>
    <col min="1547" max="1547" width="15.54296875" style="172" customWidth="1"/>
    <col min="1548" max="1548" width="2" style="172" customWidth="1"/>
    <col min="1549" max="1549" width="7.26953125" style="172" customWidth="1"/>
    <col min="1550" max="1550" width="1.54296875" style="172" customWidth="1"/>
    <col min="1551" max="1551" width="1" style="172" customWidth="1"/>
    <col min="1552" max="1552" width="16.453125" style="172" customWidth="1"/>
    <col min="1553" max="1553" width="1.453125" style="172" customWidth="1"/>
    <col min="1554" max="1554" width="2.453125" style="172" customWidth="1"/>
    <col min="1555" max="1555" width="13" style="172" customWidth="1"/>
    <col min="1556" max="1556" width="3.1796875" style="172" customWidth="1"/>
    <col min="1557" max="1557" width="21.453125" style="172" customWidth="1"/>
    <col min="1558" max="1558" width="9.1796875" style="172"/>
    <col min="1559" max="1559" width="10" style="172" bestFit="1" customWidth="1"/>
    <col min="1560" max="1560" width="9.81640625" style="172" bestFit="1" customWidth="1"/>
    <col min="1561" max="1792" width="9.1796875" style="172"/>
    <col min="1793" max="1793" width="10.26953125" style="172" customWidth="1"/>
    <col min="1794" max="1794" width="34.26953125" style="172" customWidth="1"/>
    <col min="1795" max="1795" width="16.453125" style="172" customWidth="1"/>
    <col min="1796" max="1796" width="6.7265625" style="172" customWidth="1"/>
    <col min="1797" max="1797" width="14.54296875" style="172" customWidth="1"/>
    <col min="1798" max="1798" width="8" style="172" customWidth="1"/>
    <col min="1799" max="1799" width="15.453125" style="172" customWidth="1"/>
    <col min="1800" max="1800" width="23.7265625" style="172" bestFit="1" customWidth="1"/>
    <col min="1801" max="1801" width="29.1796875" style="172" bestFit="1" customWidth="1"/>
    <col min="1802" max="1802" width="22.81640625" style="172" customWidth="1"/>
    <col min="1803" max="1803" width="15.54296875" style="172" customWidth="1"/>
    <col min="1804" max="1804" width="2" style="172" customWidth="1"/>
    <col min="1805" max="1805" width="7.26953125" style="172" customWidth="1"/>
    <col min="1806" max="1806" width="1.54296875" style="172" customWidth="1"/>
    <col min="1807" max="1807" width="1" style="172" customWidth="1"/>
    <col min="1808" max="1808" width="16.453125" style="172" customWidth="1"/>
    <col min="1809" max="1809" width="1.453125" style="172" customWidth="1"/>
    <col min="1810" max="1810" width="2.453125" style="172" customWidth="1"/>
    <col min="1811" max="1811" width="13" style="172" customWidth="1"/>
    <col min="1812" max="1812" width="3.1796875" style="172" customWidth="1"/>
    <col min="1813" max="1813" width="21.453125" style="172" customWidth="1"/>
    <col min="1814" max="1814" width="9.1796875" style="172"/>
    <col min="1815" max="1815" width="10" style="172" bestFit="1" customWidth="1"/>
    <col min="1816" max="1816" width="9.81640625" style="172" bestFit="1" customWidth="1"/>
    <col min="1817" max="2048" width="9.1796875" style="172"/>
    <col min="2049" max="2049" width="10.26953125" style="172" customWidth="1"/>
    <col min="2050" max="2050" width="34.26953125" style="172" customWidth="1"/>
    <col min="2051" max="2051" width="16.453125" style="172" customWidth="1"/>
    <col min="2052" max="2052" width="6.7265625" style="172" customWidth="1"/>
    <col min="2053" max="2053" width="14.54296875" style="172" customWidth="1"/>
    <col min="2054" max="2054" width="8" style="172" customWidth="1"/>
    <col min="2055" max="2055" width="15.453125" style="172" customWidth="1"/>
    <col min="2056" max="2056" width="23.7265625" style="172" bestFit="1" customWidth="1"/>
    <col min="2057" max="2057" width="29.1796875" style="172" bestFit="1" customWidth="1"/>
    <col min="2058" max="2058" width="22.81640625" style="172" customWidth="1"/>
    <col min="2059" max="2059" width="15.54296875" style="172" customWidth="1"/>
    <col min="2060" max="2060" width="2" style="172" customWidth="1"/>
    <col min="2061" max="2061" width="7.26953125" style="172" customWidth="1"/>
    <col min="2062" max="2062" width="1.54296875" style="172" customWidth="1"/>
    <col min="2063" max="2063" width="1" style="172" customWidth="1"/>
    <col min="2064" max="2064" width="16.453125" style="172" customWidth="1"/>
    <col min="2065" max="2065" width="1.453125" style="172" customWidth="1"/>
    <col min="2066" max="2066" width="2.453125" style="172" customWidth="1"/>
    <col min="2067" max="2067" width="13" style="172" customWidth="1"/>
    <col min="2068" max="2068" width="3.1796875" style="172" customWidth="1"/>
    <col min="2069" max="2069" width="21.453125" style="172" customWidth="1"/>
    <col min="2070" max="2070" width="9.1796875" style="172"/>
    <col min="2071" max="2071" width="10" style="172" bestFit="1" customWidth="1"/>
    <col min="2072" max="2072" width="9.81640625" style="172" bestFit="1" customWidth="1"/>
    <col min="2073" max="2304" width="9.1796875" style="172"/>
    <col min="2305" max="2305" width="10.26953125" style="172" customWidth="1"/>
    <col min="2306" max="2306" width="34.26953125" style="172" customWidth="1"/>
    <col min="2307" max="2307" width="16.453125" style="172" customWidth="1"/>
    <col min="2308" max="2308" width="6.7265625" style="172" customWidth="1"/>
    <col min="2309" max="2309" width="14.54296875" style="172" customWidth="1"/>
    <col min="2310" max="2310" width="8" style="172" customWidth="1"/>
    <col min="2311" max="2311" width="15.453125" style="172" customWidth="1"/>
    <col min="2312" max="2312" width="23.7265625" style="172" bestFit="1" customWidth="1"/>
    <col min="2313" max="2313" width="29.1796875" style="172" bestFit="1" customWidth="1"/>
    <col min="2314" max="2314" width="22.81640625" style="172" customWidth="1"/>
    <col min="2315" max="2315" width="15.54296875" style="172" customWidth="1"/>
    <col min="2316" max="2316" width="2" style="172" customWidth="1"/>
    <col min="2317" max="2317" width="7.26953125" style="172" customWidth="1"/>
    <col min="2318" max="2318" width="1.54296875" style="172" customWidth="1"/>
    <col min="2319" max="2319" width="1" style="172" customWidth="1"/>
    <col min="2320" max="2320" width="16.453125" style="172" customWidth="1"/>
    <col min="2321" max="2321" width="1.453125" style="172" customWidth="1"/>
    <col min="2322" max="2322" width="2.453125" style="172" customWidth="1"/>
    <col min="2323" max="2323" width="13" style="172" customWidth="1"/>
    <col min="2324" max="2324" width="3.1796875" style="172" customWidth="1"/>
    <col min="2325" max="2325" width="21.453125" style="172" customWidth="1"/>
    <col min="2326" max="2326" width="9.1796875" style="172"/>
    <col min="2327" max="2327" width="10" style="172" bestFit="1" customWidth="1"/>
    <col min="2328" max="2328" width="9.81640625" style="172" bestFit="1" customWidth="1"/>
    <col min="2329" max="2560" width="9.1796875" style="172"/>
    <col min="2561" max="2561" width="10.26953125" style="172" customWidth="1"/>
    <col min="2562" max="2562" width="34.26953125" style="172" customWidth="1"/>
    <col min="2563" max="2563" width="16.453125" style="172" customWidth="1"/>
    <col min="2564" max="2564" width="6.7265625" style="172" customWidth="1"/>
    <col min="2565" max="2565" width="14.54296875" style="172" customWidth="1"/>
    <col min="2566" max="2566" width="8" style="172" customWidth="1"/>
    <col min="2567" max="2567" width="15.453125" style="172" customWidth="1"/>
    <col min="2568" max="2568" width="23.7265625" style="172" bestFit="1" customWidth="1"/>
    <col min="2569" max="2569" width="29.1796875" style="172" bestFit="1" customWidth="1"/>
    <col min="2570" max="2570" width="22.81640625" style="172" customWidth="1"/>
    <col min="2571" max="2571" width="15.54296875" style="172" customWidth="1"/>
    <col min="2572" max="2572" width="2" style="172" customWidth="1"/>
    <col min="2573" max="2573" width="7.26953125" style="172" customWidth="1"/>
    <col min="2574" max="2574" width="1.54296875" style="172" customWidth="1"/>
    <col min="2575" max="2575" width="1" style="172" customWidth="1"/>
    <col min="2576" max="2576" width="16.453125" style="172" customWidth="1"/>
    <col min="2577" max="2577" width="1.453125" style="172" customWidth="1"/>
    <col min="2578" max="2578" width="2.453125" style="172" customWidth="1"/>
    <col min="2579" max="2579" width="13" style="172" customWidth="1"/>
    <col min="2580" max="2580" width="3.1796875" style="172" customWidth="1"/>
    <col min="2581" max="2581" width="21.453125" style="172" customWidth="1"/>
    <col min="2582" max="2582" width="9.1796875" style="172"/>
    <col min="2583" max="2583" width="10" style="172" bestFit="1" customWidth="1"/>
    <col min="2584" max="2584" width="9.81640625" style="172" bestFit="1" customWidth="1"/>
    <col min="2585" max="2816" width="9.1796875" style="172"/>
    <col min="2817" max="2817" width="10.26953125" style="172" customWidth="1"/>
    <col min="2818" max="2818" width="34.26953125" style="172" customWidth="1"/>
    <col min="2819" max="2819" width="16.453125" style="172" customWidth="1"/>
    <col min="2820" max="2820" width="6.7265625" style="172" customWidth="1"/>
    <col min="2821" max="2821" width="14.54296875" style="172" customWidth="1"/>
    <col min="2822" max="2822" width="8" style="172" customWidth="1"/>
    <col min="2823" max="2823" width="15.453125" style="172" customWidth="1"/>
    <col min="2824" max="2824" width="23.7265625" style="172" bestFit="1" customWidth="1"/>
    <col min="2825" max="2825" width="29.1796875" style="172" bestFit="1" customWidth="1"/>
    <col min="2826" max="2826" width="22.81640625" style="172" customWidth="1"/>
    <col min="2827" max="2827" width="15.54296875" style="172" customWidth="1"/>
    <col min="2828" max="2828" width="2" style="172" customWidth="1"/>
    <col min="2829" max="2829" width="7.26953125" style="172" customWidth="1"/>
    <col min="2830" max="2830" width="1.54296875" style="172" customWidth="1"/>
    <col min="2831" max="2831" width="1" style="172" customWidth="1"/>
    <col min="2832" max="2832" width="16.453125" style="172" customWidth="1"/>
    <col min="2833" max="2833" width="1.453125" style="172" customWidth="1"/>
    <col min="2834" max="2834" width="2.453125" style="172" customWidth="1"/>
    <col min="2835" max="2835" width="13" style="172" customWidth="1"/>
    <col min="2836" max="2836" width="3.1796875" style="172" customWidth="1"/>
    <col min="2837" max="2837" width="21.453125" style="172" customWidth="1"/>
    <col min="2838" max="2838" width="9.1796875" style="172"/>
    <col min="2839" max="2839" width="10" style="172" bestFit="1" customWidth="1"/>
    <col min="2840" max="2840" width="9.81640625" style="172" bestFit="1" customWidth="1"/>
    <col min="2841" max="3072" width="9.1796875" style="172"/>
    <col min="3073" max="3073" width="10.26953125" style="172" customWidth="1"/>
    <col min="3074" max="3074" width="34.26953125" style="172" customWidth="1"/>
    <col min="3075" max="3075" width="16.453125" style="172" customWidth="1"/>
    <col min="3076" max="3076" width="6.7265625" style="172" customWidth="1"/>
    <col min="3077" max="3077" width="14.54296875" style="172" customWidth="1"/>
    <col min="3078" max="3078" width="8" style="172" customWidth="1"/>
    <col min="3079" max="3079" width="15.453125" style="172" customWidth="1"/>
    <col min="3080" max="3080" width="23.7265625" style="172" bestFit="1" customWidth="1"/>
    <col min="3081" max="3081" width="29.1796875" style="172" bestFit="1" customWidth="1"/>
    <col min="3082" max="3082" width="22.81640625" style="172" customWidth="1"/>
    <col min="3083" max="3083" width="15.54296875" style="172" customWidth="1"/>
    <col min="3084" max="3084" width="2" style="172" customWidth="1"/>
    <col min="3085" max="3085" width="7.26953125" style="172" customWidth="1"/>
    <col min="3086" max="3086" width="1.54296875" style="172" customWidth="1"/>
    <col min="3087" max="3087" width="1" style="172" customWidth="1"/>
    <col min="3088" max="3088" width="16.453125" style="172" customWidth="1"/>
    <col min="3089" max="3089" width="1.453125" style="172" customWidth="1"/>
    <col min="3090" max="3090" width="2.453125" style="172" customWidth="1"/>
    <col min="3091" max="3091" width="13" style="172" customWidth="1"/>
    <col min="3092" max="3092" width="3.1796875" style="172" customWidth="1"/>
    <col min="3093" max="3093" width="21.453125" style="172" customWidth="1"/>
    <col min="3094" max="3094" width="9.1796875" style="172"/>
    <col min="3095" max="3095" width="10" style="172" bestFit="1" customWidth="1"/>
    <col min="3096" max="3096" width="9.81640625" style="172" bestFit="1" customWidth="1"/>
    <col min="3097" max="3328" width="9.1796875" style="172"/>
    <col min="3329" max="3329" width="10.26953125" style="172" customWidth="1"/>
    <col min="3330" max="3330" width="34.26953125" style="172" customWidth="1"/>
    <col min="3331" max="3331" width="16.453125" style="172" customWidth="1"/>
    <col min="3332" max="3332" width="6.7265625" style="172" customWidth="1"/>
    <col min="3333" max="3333" width="14.54296875" style="172" customWidth="1"/>
    <col min="3334" max="3334" width="8" style="172" customWidth="1"/>
    <col min="3335" max="3335" width="15.453125" style="172" customWidth="1"/>
    <col min="3336" max="3336" width="23.7265625" style="172" bestFit="1" customWidth="1"/>
    <col min="3337" max="3337" width="29.1796875" style="172" bestFit="1" customWidth="1"/>
    <col min="3338" max="3338" width="22.81640625" style="172" customWidth="1"/>
    <col min="3339" max="3339" width="15.54296875" style="172" customWidth="1"/>
    <col min="3340" max="3340" width="2" style="172" customWidth="1"/>
    <col min="3341" max="3341" width="7.26953125" style="172" customWidth="1"/>
    <col min="3342" max="3342" width="1.54296875" style="172" customWidth="1"/>
    <col min="3343" max="3343" width="1" style="172" customWidth="1"/>
    <col min="3344" max="3344" width="16.453125" style="172" customWidth="1"/>
    <col min="3345" max="3345" width="1.453125" style="172" customWidth="1"/>
    <col min="3346" max="3346" width="2.453125" style="172" customWidth="1"/>
    <col min="3347" max="3347" width="13" style="172" customWidth="1"/>
    <col min="3348" max="3348" width="3.1796875" style="172" customWidth="1"/>
    <col min="3349" max="3349" width="21.453125" style="172" customWidth="1"/>
    <col min="3350" max="3350" width="9.1796875" style="172"/>
    <col min="3351" max="3351" width="10" style="172" bestFit="1" customWidth="1"/>
    <col min="3352" max="3352" width="9.81640625" style="172" bestFit="1" customWidth="1"/>
    <col min="3353" max="3584" width="9.1796875" style="172"/>
    <col min="3585" max="3585" width="10.26953125" style="172" customWidth="1"/>
    <col min="3586" max="3586" width="34.26953125" style="172" customWidth="1"/>
    <col min="3587" max="3587" width="16.453125" style="172" customWidth="1"/>
    <col min="3588" max="3588" width="6.7265625" style="172" customWidth="1"/>
    <col min="3589" max="3589" width="14.54296875" style="172" customWidth="1"/>
    <col min="3590" max="3590" width="8" style="172" customWidth="1"/>
    <col min="3591" max="3591" width="15.453125" style="172" customWidth="1"/>
    <col min="3592" max="3592" width="23.7265625" style="172" bestFit="1" customWidth="1"/>
    <col min="3593" max="3593" width="29.1796875" style="172" bestFit="1" customWidth="1"/>
    <col min="3594" max="3594" width="22.81640625" style="172" customWidth="1"/>
    <col min="3595" max="3595" width="15.54296875" style="172" customWidth="1"/>
    <col min="3596" max="3596" width="2" style="172" customWidth="1"/>
    <col min="3597" max="3597" width="7.26953125" style="172" customWidth="1"/>
    <col min="3598" max="3598" width="1.54296875" style="172" customWidth="1"/>
    <col min="3599" max="3599" width="1" style="172" customWidth="1"/>
    <col min="3600" max="3600" width="16.453125" style="172" customWidth="1"/>
    <col min="3601" max="3601" width="1.453125" style="172" customWidth="1"/>
    <col min="3602" max="3602" width="2.453125" style="172" customWidth="1"/>
    <col min="3603" max="3603" width="13" style="172" customWidth="1"/>
    <col min="3604" max="3604" width="3.1796875" style="172" customWidth="1"/>
    <col min="3605" max="3605" width="21.453125" style="172" customWidth="1"/>
    <col min="3606" max="3606" width="9.1796875" style="172"/>
    <col min="3607" max="3607" width="10" style="172" bestFit="1" customWidth="1"/>
    <col min="3608" max="3608" width="9.81640625" style="172" bestFit="1" customWidth="1"/>
    <col min="3609" max="3840" width="9.1796875" style="172"/>
    <col min="3841" max="3841" width="10.26953125" style="172" customWidth="1"/>
    <col min="3842" max="3842" width="34.26953125" style="172" customWidth="1"/>
    <col min="3843" max="3843" width="16.453125" style="172" customWidth="1"/>
    <col min="3844" max="3844" width="6.7265625" style="172" customWidth="1"/>
    <col min="3845" max="3845" width="14.54296875" style="172" customWidth="1"/>
    <col min="3846" max="3846" width="8" style="172" customWidth="1"/>
    <col min="3847" max="3847" width="15.453125" style="172" customWidth="1"/>
    <col min="3848" max="3848" width="23.7265625" style="172" bestFit="1" customWidth="1"/>
    <col min="3849" max="3849" width="29.1796875" style="172" bestFit="1" customWidth="1"/>
    <col min="3850" max="3850" width="22.81640625" style="172" customWidth="1"/>
    <col min="3851" max="3851" width="15.54296875" style="172" customWidth="1"/>
    <col min="3852" max="3852" width="2" style="172" customWidth="1"/>
    <col min="3853" max="3853" width="7.26953125" style="172" customWidth="1"/>
    <col min="3854" max="3854" width="1.54296875" style="172" customWidth="1"/>
    <col min="3855" max="3855" width="1" style="172" customWidth="1"/>
    <col min="3856" max="3856" width="16.453125" style="172" customWidth="1"/>
    <col min="3857" max="3857" width="1.453125" style="172" customWidth="1"/>
    <col min="3858" max="3858" width="2.453125" style="172" customWidth="1"/>
    <col min="3859" max="3859" width="13" style="172" customWidth="1"/>
    <col min="3860" max="3860" width="3.1796875" style="172" customWidth="1"/>
    <col min="3861" max="3861" width="21.453125" style="172" customWidth="1"/>
    <col min="3862" max="3862" width="9.1796875" style="172"/>
    <col min="3863" max="3863" width="10" style="172" bestFit="1" customWidth="1"/>
    <col min="3864" max="3864" width="9.81640625" style="172" bestFit="1" customWidth="1"/>
    <col min="3865" max="4096" width="9.1796875" style="172"/>
    <col min="4097" max="4097" width="10.26953125" style="172" customWidth="1"/>
    <col min="4098" max="4098" width="34.26953125" style="172" customWidth="1"/>
    <col min="4099" max="4099" width="16.453125" style="172" customWidth="1"/>
    <col min="4100" max="4100" width="6.7265625" style="172" customWidth="1"/>
    <col min="4101" max="4101" width="14.54296875" style="172" customWidth="1"/>
    <col min="4102" max="4102" width="8" style="172" customWidth="1"/>
    <col min="4103" max="4103" width="15.453125" style="172" customWidth="1"/>
    <col min="4104" max="4104" width="23.7265625" style="172" bestFit="1" customWidth="1"/>
    <col min="4105" max="4105" width="29.1796875" style="172" bestFit="1" customWidth="1"/>
    <col min="4106" max="4106" width="22.81640625" style="172" customWidth="1"/>
    <col min="4107" max="4107" width="15.54296875" style="172" customWidth="1"/>
    <col min="4108" max="4108" width="2" style="172" customWidth="1"/>
    <col min="4109" max="4109" width="7.26953125" style="172" customWidth="1"/>
    <col min="4110" max="4110" width="1.54296875" style="172" customWidth="1"/>
    <col min="4111" max="4111" width="1" style="172" customWidth="1"/>
    <col min="4112" max="4112" width="16.453125" style="172" customWidth="1"/>
    <col min="4113" max="4113" width="1.453125" style="172" customWidth="1"/>
    <col min="4114" max="4114" width="2.453125" style="172" customWidth="1"/>
    <col min="4115" max="4115" width="13" style="172" customWidth="1"/>
    <col min="4116" max="4116" width="3.1796875" style="172" customWidth="1"/>
    <col min="4117" max="4117" width="21.453125" style="172" customWidth="1"/>
    <col min="4118" max="4118" width="9.1796875" style="172"/>
    <col min="4119" max="4119" width="10" style="172" bestFit="1" customWidth="1"/>
    <col min="4120" max="4120" width="9.81640625" style="172" bestFit="1" customWidth="1"/>
    <col min="4121" max="4352" width="9.1796875" style="172"/>
    <col min="4353" max="4353" width="10.26953125" style="172" customWidth="1"/>
    <col min="4354" max="4354" width="34.26953125" style="172" customWidth="1"/>
    <col min="4355" max="4355" width="16.453125" style="172" customWidth="1"/>
    <col min="4356" max="4356" width="6.7265625" style="172" customWidth="1"/>
    <col min="4357" max="4357" width="14.54296875" style="172" customWidth="1"/>
    <col min="4358" max="4358" width="8" style="172" customWidth="1"/>
    <col min="4359" max="4359" width="15.453125" style="172" customWidth="1"/>
    <col min="4360" max="4360" width="23.7265625" style="172" bestFit="1" customWidth="1"/>
    <col min="4361" max="4361" width="29.1796875" style="172" bestFit="1" customWidth="1"/>
    <col min="4362" max="4362" width="22.81640625" style="172" customWidth="1"/>
    <col min="4363" max="4363" width="15.54296875" style="172" customWidth="1"/>
    <col min="4364" max="4364" width="2" style="172" customWidth="1"/>
    <col min="4365" max="4365" width="7.26953125" style="172" customWidth="1"/>
    <col min="4366" max="4366" width="1.54296875" style="172" customWidth="1"/>
    <col min="4367" max="4367" width="1" style="172" customWidth="1"/>
    <col min="4368" max="4368" width="16.453125" style="172" customWidth="1"/>
    <col min="4369" max="4369" width="1.453125" style="172" customWidth="1"/>
    <col min="4370" max="4370" width="2.453125" style="172" customWidth="1"/>
    <col min="4371" max="4371" width="13" style="172" customWidth="1"/>
    <col min="4372" max="4372" width="3.1796875" style="172" customWidth="1"/>
    <col min="4373" max="4373" width="21.453125" style="172" customWidth="1"/>
    <col min="4374" max="4374" width="9.1796875" style="172"/>
    <col min="4375" max="4375" width="10" style="172" bestFit="1" customWidth="1"/>
    <col min="4376" max="4376" width="9.81640625" style="172" bestFit="1" customWidth="1"/>
    <col min="4377" max="4608" width="9.1796875" style="172"/>
    <col min="4609" max="4609" width="10.26953125" style="172" customWidth="1"/>
    <col min="4610" max="4610" width="34.26953125" style="172" customWidth="1"/>
    <col min="4611" max="4611" width="16.453125" style="172" customWidth="1"/>
    <col min="4612" max="4612" width="6.7265625" style="172" customWidth="1"/>
    <col min="4613" max="4613" width="14.54296875" style="172" customWidth="1"/>
    <col min="4614" max="4614" width="8" style="172" customWidth="1"/>
    <col min="4615" max="4615" width="15.453125" style="172" customWidth="1"/>
    <col min="4616" max="4616" width="23.7265625" style="172" bestFit="1" customWidth="1"/>
    <col min="4617" max="4617" width="29.1796875" style="172" bestFit="1" customWidth="1"/>
    <col min="4618" max="4618" width="22.81640625" style="172" customWidth="1"/>
    <col min="4619" max="4619" width="15.54296875" style="172" customWidth="1"/>
    <col min="4620" max="4620" width="2" style="172" customWidth="1"/>
    <col min="4621" max="4621" width="7.26953125" style="172" customWidth="1"/>
    <col min="4622" max="4622" width="1.54296875" style="172" customWidth="1"/>
    <col min="4623" max="4623" width="1" style="172" customWidth="1"/>
    <col min="4624" max="4624" width="16.453125" style="172" customWidth="1"/>
    <col min="4625" max="4625" width="1.453125" style="172" customWidth="1"/>
    <col min="4626" max="4626" width="2.453125" style="172" customWidth="1"/>
    <col min="4627" max="4627" width="13" style="172" customWidth="1"/>
    <col min="4628" max="4628" width="3.1796875" style="172" customWidth="1"/>
    <col min="4629" max="4629" width="21.453125" style="172" customWidth="1"/>
    <col min="4630" max="4630" width="9.1796875" style="172"/>
    <col min="4631" max="4631" width="10" style="172" bestFit="1" customWidth="1"/>
    <col min="4632" max="4632" width="9.81640625" style="172" bestFit="1" customWidth="1"/>
    <col min="4633" max="4864" width="9.1796875" style="172"/>
    <col min="4865" max="4865" width="10.26953125" style="172" customWidth="1"/>
    <col min="4866" max="4866" width="34.26953125" style="172" customWidth="1"/>
    <col min="4867" max="4867" width="16.453125" style="172" customWidth="1"/>
    <col min="4868" max="4868" width="6.7265625" style="172" customWidth="1"/>
    <col min="4869" max="4869" width="14.54296875" style="172" customWidth="1"/>
    <col min="4870" max="4870" width="8" style="172" customWidth="1"/>
    <col min="4871" max="4871" width="15.453125" style="172" customWidth="1"/>
    <col min="4872" max="4872" width="23.7265625" style="172" bestFit="1" customWidth="1"/>
    <col min="4873" max="4873" width="29.1796875" style="172" bestFit="1" customWidth="1"/>
    <col min="4874" max="4874" width="22.81640625" style="172" customWidth="1"/>
    <col min="4875" max="4875" width="15.54296875" style="172" customWidth="1"/>
    <col min="4876" max="4876" width="2" style="172" customWidth="1"/>
    <col min="4877" max="4877" width="7.26953125" style="172" customWidth="1"/>
    <col min="4878" max="4878" width="1.54296875" style="172" customWidth="1"/>
    <col min="4879" max="4879" width="1" style="172" customWidth="1"/>
    <col min="4880" max="4880" width="16.453125" style="172" customWidth="1"/>
    <col min="4881" max="4881" width="1.453125" style="172" customWidth="1"/>
    <col min="4882" max="4882" width="2.453125" style="172" customWidth="1"/>
    <col min="4883" max="4883" width="13" style="172" customWidth="1"/>
    <col min="4884" max="4884" width="3.1796875" style="172" customWidth="1"/>
    <col min="4885" max="4885" width="21.453125" style="172" customWidth="1"/>
    <col min="4886" max="4886" width="9.1796875" style="172"/>
    <col min="4887" max="4887" width="10" style="172" bestFit="1" customWidth="1"/>
    <col min="4888" max="4888" width="9.81640625" style="172" bestFit="1" customWidth="1"/>
    <col min="4889" max="5120" width="9.1796875" style="172"/>
    <col min="5121" max="5121" width="10.26953125" style="172" customWidth="1"/>
    <col min="5122" max="5122" width="34.26953125" style="172" customWidth="1"/>
    <col min="5123" max="5123" width="16.453125" style="172" customWidth="1"/>
    <col min="5124" max="5124" width="6.7265625" style="172" customWidth="1"/>
    <col min="5125" max="5125" width="14.54296875" style="172" customWidth="1"/>
    <col min="5126" max="5126" width="8" style="172" customWidth="1"/>
    <col min="5127" max="5127" width="15.453125" style="172" customWidth="1"/>
    <col min="5128" max="5128" width="23.7265625" style="172" bestFit="1" customWidth="1"/>
    <col min="5129" max="5129" width="29.1796875" style="172" bestFit="1" customWidth="1"/>
    <col min="5130" max="5130" width="22.81640625" style="172" customWidth="1"/>
    <col min="5131" max="5131" width="15.54296875" style="172" customWidth="1"/>
    <col min="5132" max="5132" width="2" style="172" customWidth="1"/>
    <col min="5133" max="5133" width="7.26953125" style="172" customWidth="1"/>
    <col min="5134" max="5134" width="1.54296875" style="172" customWidth="1"/>
    <col min="5135" max="5135" width="1" style="172" customWidth="1"/>
    <col min="5136" max="5136" width="16.453125" style="172" customWidth="1"/>
    <col min="5137" max="5137" width="1.453125" style="172" customWidth="1"/>
    <col min="5138" max="5138" width="2.453125" style="172" customWidth="1"/>
    <col min="5139" max="5139" width="13" style="172" customWidth="1"/>
    <col min="5140" max="5140" width="3.1796875" style="172" customWidth="1"/>
    <col min="5141" max="5141" width="21.453125" style="172" customWidth="1"/>
    <col min="5142" max="5142" width="9.1796875" style="172"/>
    <col min="5143" max="5143" width="10" style="172" bestFit="1" customWidth="1"/>
    <col min="5144" max="5144" width="9.81640625" style="172" bestFit="1" customWidth="1"/>
    <col min="5145" max="5376" width="9.1796875" style="172"/>
    <col min="5377" max="5377" width="10.26953125" style="172" customWidth="1"/>
    <col min="5378" max="5378" width="34.26953125" style="172" customWidth="1"/>
    <col min="5379" max="5379" width="16.453125" style="172" customWidth="1"/>
    <col min="5380" max="5380" width="6.7265625" style="172" customWidth="1"/>
    <col min="5381" max="5381" width="14.54296875" style="172" customWidth="1"/>
    <col min="5382" max="5382" width="8" style="172" customWidth="1"/>
    <col min="5383" max="5383" width="15.453125" style="172" customWidth="1"/>
    <col min="5384" max="5384" width="23.7265625" style="172" bestFit="1" customWidth="1"/>
    <col min="5385" max="5385" width="29.1796875" style="172" bestFit="1" customWidth="1"/>
    <col min="5386" max="5386" width="22.81640625" style="172" customWidth="1"/>
    <col min="5387" max="5387" width="15.54296875" style="172" customWidth="1"/>
    <col min="5388" max="5388" width="2" style="172" customWidth="1"/>
    <col min="5389" max="5389" width="7.26953125" style="172" customWidth="1"/>
    <col min="5390" max="5390" width="1.54296875" style="172" customWidth="1"/>
    <col min="5391" max="5391" width="1" style="172" customWidth="1"/>
    <col min="5392" max="5392" width="16.453125" style="172" customWidth="1"/>
    <col min="5393" max="5393" width="1.453125" style="172" customWidth="1"/>
    <col min="5394" max="5394" width="2.453125" style="172" customWidth="1"/>
    <col min="5395" max="5395" width="13" style="172" customWidth="1"/>
    <col min="5396" max="5396" width="3.1796875" style="172" customWidth="1"/>
    <col min="5397" max="5397" width="21.453125" style="172" customWidth="1"/>
    <col min="5398" max="5398" width="9.1796875" style="172"/>
    <col min="5399" max="5399" width="10" style="172" bestFit="1" customWidth="1"/>
    <col min="5400" max="5400" width="9.81640625" style="172" bestFit="1" customWidth="1"/>
    <col min="5401" max="5632" width="9.1796875" style="172"/>
    <col min="5633" max="5633" width="10.26953125" style="172" customWidth="1"/>
    <col min="5634" max="5634" width="34.26953125" style="172" customWidth="1"/>
    <col min="5635" max="5635" width="16.453125" style="172" customWidth="1"/>
    <col min="5636" max="5636" width="6.7265625" style="172" customWidth="1"/>
    <col min="5637" max="5637" width="14.54296875" style="172" customWidth="1"/>
    <col min="5638" max="5638" width="8" style="172" customWidth="1"/>
    <col min="5639" max="5639" width="15.453125" style="172" customWidth="1"/>
    <col min="5640" max="5640" width="23.7265625" style="172" bestFit="1" customWidth="1"/>
    <col min="5641" max="5641" width="29.1796875" style="172" bestFit="1" customWidth="1"/>
    <col min="5642" max="5642" width="22.81640625" style="172" customWidth="1"/>
    <col min="5643" max="5643" width="15.54296875" style="172" customWidth="1"/>
    <col min="5644" max="5644" width="2" style="172" customWidth="1"/>
    <col min="5645" max="5645" width="7.26953125" style="172" customWidth="1"/>
    <col min="5646" max="5646" width="1.54296875" style="172" customWidth="1"/>
    <col min="5647" max="5647" width="1" style="172" customWidth="1"/>
    <col min="5648" max="5648" width="16.453125" style="172" customWidth="1"/>
    <col min="5649" max="5649" width="1.453125" style="172" customWidth="1"/>
    <col min="5650" max="5650" width="2.453125" style="172" customWidth="1"/>
    <col min="5651" max="5651" width="13" style="172" customWidth="1"/>
    <col min="5652" max="5652" width="3.1796875" style="172" customWidth="1"/>
    <col min="5653" max="5653" width="21.453125" style="172" customWidth="1"/>
    <col min="5654" max="5654" width="9.1796875" style="172"/>
    <col min="5655" max="5655" width="10" style="172" bestFit="1" customWidth="1"/>
    <col min="5656" max="5656" width="9.81640625" style="172" bestFit="1" customWidth="1"/>
    <col min="5657" max="5888" width="9.1796875" style="172"/>
    <col min="5889" max="5889" width="10.26953125" style="172" customWidth="1"/>
    <col min="5890" max="5890" width="34.26953125" style="172" customWidth="1"/>
    <col min="5891" max="5891" width="16.453125" style="172" customWidth="1"/>
    <col min="5892" max="5892" width="6.7265625" style="172" customWidth="1"/>
    <col min="5893" max="5893" width="14.54296875" style="172" customWidth="1"/>
    <col min="5894" max="5894" width="8" style="172" customWidth="1"/>
    <col min="5895" max="5895" width="15.453125" style="172" customWidth="1"/>
    <col min="5896" max="5896" width="23.7265625" style="172" bestFit="1" customWidth="1"/>
    <col min="5897" max="5897" width="29.1796875" style="172" bestFit="1" customWidth="1"/>
    <col min="5898" max="5898" width="22.81640625" style="172" customWidth="1"/>
    <col min="5899" max="5899" width="15.54296875" style="172" customWidth="1"/>
    <col min="5900" max="5900" width="2" style="172" customWidth="1"/>
    <col min="5901" max="5901" width="7.26953125" style="172" customWidth="1"/>
    <col min="5902" max="5902" width="1.54296875" style="172" customWidth="1"/>
    <col min="5903" max="5903" width="1" style="172" customWidth="1"/>
    <col min="5904" max="5904" width="16.453125" style="172" customWidth="1"/>
    <col min="5905" max="5905" width="1.453125" style="172" customWidth="1"/>
    <col min="5906" max="5906" width="2.453125" style="172" customWidth="1"/>
    <col min="5907" max="5907" width="13" style="172" customWidth="1"/>
    <col min="5908" max="5908" width="3.1796875" style="172" customWidth="1"/>
    <col min="5909" max="5909" width="21.453125" style="172" customWidth="1"/>
    <col min="5910" max="5910" width="9.1796875" style="172"/>
    <col min="5911" max="5911" width="10" style="172" bestFit="1" customWidth="1"/>
    <col min="5912" max="5912" width="9.81640625" style="172" bestFit="1" customWidth="1"/>
    <col min="5913" max="6144" width="9.1796875" style="172"/>
    <col min="6145" max="6145" width="10.26953125" style="172" customWidth="1"/>
    <col min="6146" max="6146" width="34.26953125" style="172" customWidth="1"/>
    <col min="6147" max="6147" width="16.453125" style="172" customWidth="1"/>
    <col min="6148" max="6148" width="6.7265625" style="172" customWidth="1"/>
    <col min="6149" max="6149" width="14.54296875" style="172" customWidth="1"/>
    <col min="6150" max="6150" width="8" style="172" customWidth="1"/>
    <col min="6151" max="6151" width="15.453125" style="172" customWidth="1"/>
    <col min="6152" max="6152" width="23.7265625" style="172" bestFit="1" customWidth="1"/>
    <col min="6153" max="6153" width="29.1796875" style="172" bestFit="1" customWidth="1"/>
    <col min="6154" max="6154" width="22.81640625" style="172" customWidth="1"/>
    <col min="6155" max="6155" width="15.54296875" style="172" customWidth="1"/>
    <col min="6156" max="6156" width="2" style="172" customWidth="1"/>
    <col min="6157" max="6157" width="7.26953125" style="172" customWidth="1"/>
    <col min="6158" max="6158" width="1.54296875" style="172" customWidth="1"/>
    <col min="6159" max="6159" width="1" style="172" customWidth="1"/>
    <col min="6160" max="6160" width="16.453125" style="172" customWidth="1"/>
    <col min="6161" max="6161" width="1.453125" style="172" customWidth="1"/>
    <col min="6162" max="6162" width="2.453125" style="172" customWidth="1"/>
    <col min="6163" max="6163" width="13" style="172" customWidth="1"/>
    <col min="6164" max="6164" width="3.1796875" style="172" customWidth="1"/>
    <col min="6165" max="6165" width="21.453125" style="172" customWidth="1"/>
    <col min="6166" max="6166" width="9.1796875" style="172"/>
    <col min="6167" max="6167" width="10" style="172" bestFit="1" customWidth="1"/>
    <col min="6168" max="6168" width="9.81640625" style="172" bestFit="1" customWidth="1"/>
    <col min="6169" max="6400" width="9.1796875" style="172"/>
    <col min="6401" max="6401" width="10.26953125" style="172" customWidth="1"/>
    <col min="6402" max="6402" width="34.26953125" style="172" customWidth="1"/>
    <col min="6403" max="6403" width="16.453125" style="172" customWidth="1"/>
    <col min="6404" max="6404" width="6.7265625" style="172" customWidth="1"/>
    <col min="6405" max="6405" width="14.54296875" style="172" customWidth="1"/>
    <col min="6406" max="6406" width="8" style="172" customWidth="1"/>
    <col min="6407" max="6407" width="15.453125" style="172" customWidth="1"/>
    <col min="6408" max="6408" width="23.7265625" style="172" bestFit="1" customWidth="1"/>
    <col min="6409" max="6409" width="29.1796875" style="172" bestFit="1" customWidth="1"/>
    <col min="6410" max="6410" width="22.81640625" style="172" customWidth="1"/>
    <col min="6411" max="6411" width="15.54296875" style="172" customWidth="1"/>
    <col min="6412" max="6412" width="2" style="172" customWidth="1"/>
    <col min="6413" max="6413" width="7.26953125" style="172" customWidth="1"/>
    <col min="6414" max="6414" width="1.54296875" style="172" customWidth="1"/>
    <col min="6415" max="6415" width="1" style="172" customWidth="1"/>
    <col min="6416" max="6416" width="16.453125" style="172" customWidth="1"/>
    <col min="6417" max="6417" width="1.453125" style="172" customWidth="1"/>
    <col min="6418" max="6418" width="2.453125" style="172" customWidth="1"/>
    <col min="6419" max="6419" width="13" style="172" customWidth="1"/>
    <col min="6420" max="6420" width="3.1796875" style="172" customWidth="1"/>
    <col min="6421" max="6421" width="21.453125" style="172" customWidth="1"/>
    <col min="6422" max="6422" width="9.1796875" style="172"/>
    <col min="6423" max="6423" width="10" style="172" bestFit="1" customWidth="1"/>
    <col min="6424" max="6424" width="9.81640625" style="172" bestFit="1" customWidth="1"/>
    <col min="6425" max="6656" width="9.1796875" style="172"/>
    <col min="6657" max="6657" width="10.26953125" style="172" customWidth="1"/>
    <col min="6658" max="6658" width="34.26953125" style="172" customWidth="1"/>
    <col min="6659" max="6659" width="16.453125" style="172" customWidth="1"/>
    <col min="6660" max="6660" width="6.7265625" style="172" customWidth="1"/>
    <col min="6661" max="6661" width="14.54296875" style="172" customWidth="1"/>
    <col min="6662" max="6662" width="8" style="172" customWidth="1"/>
    <col min="6663" max="6663" width="15.453125" style="172" customWidth="1"/>
    <col min="6664" max="6664" width="23.7265625" style="172" bestFit="1" customWidth="1"/>
    <col min="6665" max="6665" width="29.1796875" style="172" bestFit="1" customWidth="1"/>
    <col min="6666" max="6666" width="22.81640625" style="172" customWidth="1"/>
    <col min="6667" max="6667" width="15.54296875" style="172" customWidth="1"/>
    <col min="6668" max="6668" width="2" style="172" customWidth="1"/>
    <col min="6669" max="6669" width="7.26953125" style="172" customWidth="1"/>
    <col min="6670" max="6670" width="1.54296875" style="172" customWidth="1"/>
    <col min="6671" max="6671" width="1" style="172" customWidth="1"/>
    <col min="6672" max="6672" width="16.453125" style="172" customWidth="1"/>
    <col min="6673" max="6673" width="1.453125" style="172" customWidth="1"/>
    <col min="6674" max="6674" width="2.453125" style="172" customWidth="1"/>
    <col min="6675" max="6675" width="13" style="172" customWidth="1"/>
    <col min="6676" max="6676" width="3.1796875" style="172" customWidth="1"/>
    <col min="6677" max="6677" width="21.453125" style="172" customWidth="1"/>
    <col min="6678" max="6678" width="9.1796875" style="172"/>
    <col min="6679" max="6679" width="10" style="172" bestFit="1" customWidth="1"/>
    <col min="6680" max="6680" width="9.81640625" style="172" bestFit="1" customWidth="1"/>
    <col min="6681" max="6912" width="9.1796875" style="172"/>
    <col min="6913" max="6913" width="10.26953125" style="172" customWidth="1"/>
    <col min="6914" max="6914" width="34.26953125" style="172" customWidth="1"/>
    <col min="6915" max="6915" width="16.453125" style="172" customWidth="1"/>
    <col min="6916" max="6916" width="6.7265625" style="172" customWidth="1"/>
    <col min="6917" max="6917" width="14.54296875" style="172" customWidth="1"/>
    <col min="6918" max="6918" width="8" style="172" customWidth="1"/>
    <col min="6919" max="6919" width="15.453125" style="172" customWidth="1"/>
    <col min="6920" max="6920" width="23.7265625" style="172" bestFit="1" customWidth="1"/>
    <col min="6921" max="6921" width="29.1796875" style="172" bestFit="1" customWidth="1"/>
    <col min="6922" max="6922" width="22.81640625" style="172" customWidth="1"/>
    <col min="6923" max="6923" width="15.54296875" style="172" customWidth="1"/>
    <col min="6924" max="6924" width="2" style="172" customWidth="1"/>
    <col min="6925" max="6925" width="7.26953125" style="172" customWidth="1"/>
    <col min="6926" max="6926" width="1.54296875" style="172" customWidth="1"/>
    <col min="6927" max="6927" width="1" style="172" customWidth="1"/>
    <col min="6928" max="6928" width="16.453125" style="172" customWidth="1"/>
    <col min="6929" max="6929" width="1.453125" style="172" customWidth="1"/>
    <col min="6930" max="6930" width="2.453125" style="172" customWidth="1"/>
    <col min="6931" max="6931" width="13" style="172" customWidth="1"/>
    <col min="6932" max="6932" width="3.1796875" style="172" customWidth="1"/>
    <col min="6933" max="6933" width="21.453125" style="172" customWidth="1"/>
    <col min="6934" max="6934" width="9.1796875" style="172"/>
    <col min="6935" max="6935" width="10" style="172" bestFit="1" customWidth="1"/>
    <col min="6936" max="6936" width="9.81640625" style="172" bestFit="1" customWidth="1"/>
    <col min="6937" max="7168" width="9.1796875" style="172"/>
    <col min="7169" max="7169" width="10.26953125" style="172" customWidth="1"/>
    <col min="7170" max="7170" width="34.26953125" style="172" customWidth="1"/>
    <col min="7171" max="7171" width="16.453125" style="172" customWidth="1"/>
    <col min="7172" max="7172" width="6.7265625" style="172" customWidth="1"/>
    <col min="7173" max="7173" width="14.54296875" style="172" customWidth="1"/>
    <col min="7174" max="7174" width="8" style="172" customWidth="1"/>
    <col min="7175" max="7175" width="15.453125" style="172" customWidth="1"/>
    <col min="7176" max="7176" width="23.7265625" style="172" bestFit="1" customWidth="1"/>
    <col min="7177" max="7177" width="29.1796875" style="172" bestFit="1" customWidth="1"/>
    <col min="7178" max="7178" width="22.81640625" style="172" customWidth="1"/>
    <col min="7179" max="7179" width="15.54296875" style="172" customWidth="1"/>
    <col min="7180" max="7180" width="2" style="172" customWidth="1"/>
    <col min="7181" max="7181" width="7.26953125" style="172" customWidth="1"/>
    <col min="7182" max="7182" width="1.54296875" style="172" customWidth="1"/>
    <col min="7183" max="7183" width="1" style="172" customWidth="1"/>
    <col min="7184" max="7184" width="16.453125" style="172" customWidth="1"/>
    <col min="7185" max="7185" width="1.453125" style="172" customWidth="1"/>
    <col min="7186" max="7186" width="2.453125" style="172" customWidth="1"/>
    <col min="7187" max="7187" width="13" style="172" customWidth="1"/>
    <col min="7188" max="7188" width="3.1796875" style="172" customWidth="1"/>
    <col min="7189" max="7189" width="21.453125" style="172" customWidth="1"/>
    <col min="7190" max="7190" width="9.1796875" style="172"/>
    <col min="7191" max="7191" width="10" style="172" bestFit="1" customWidth="1"/>
    <col min="7192" max="7192" width="9.81640625" style="172" bestFit="1" customWidth="1"/>
    <col min="7193" max="7424" width="9.1796875" style="172"/>
    <col min="7425" max="7425" width="10.26953125" style="172" customWidth="1"/>
    <col min="7426" max="7426" width="34.26953125" style="172" customWidth="1"/>
    <col min="7427" max="7427" width="16.453125" style="172" customWidth="1"/>
    <col min="7428" max="7428" width="6.7265625" style="172" customWidth="1"/>
    <col min="7429" max="7429" width="14.54296875" style="172" customWidth="1"/>
    <col min="7430" max="7430" width="8" style="172" customWidth="1"/>
    <col min="7431" max="7431" width="15.453125" style="172" customWidth="1"/>
    <col min="7432" max="7432" width="23.7265625" style="172" bestFit="1" customWidth="1"/>
    <col min="7433" max="7433" width="29.1796875" style="172" bestFit="1" customWidth="1"/>
    <col min="7434" max="7434" width="22.81640625" style="172" customWidth="1"/>
    <col min="7435" max="7435" width="15.54296875" style="172" customWidth="1"/>
    <col min="7436" max="7436" width="2" style="172" customWidth="1"/>
    <col min="7437" max="7437" width="7.26953125" style="172" customWidth="1"/>
    <col min="7438" max="7438" width="1.54296875" style="172" customWidth="1"/>
    <col min="7439" max="7439" width="1" style="172" customWidth="1"/>
    <col min="7440" max="7440" width="16.453125" style="172" customWidth="1"/>
    <col min="7441" max="7441" width="1.453125" style="172" customWidth="1"/>
    <col min="7442" max="7442" width="2.453125" style="172" customWidth="1"/>
    <col min="7443" max="7443" width="13" style="172" customWidth="1"/>
    <col min="7444" max="7444" width="3.1796875" style="172" customWidth="1"/>
    <col min="7445" max="7445" width="21.453125" style="172" customWidth="1"/>
    <col min="7446" max="7446" width="9.1796875" style="172"/>
    <col min="7447" max="7447" width="10" style="172" bestFit="1" customWidth="1"/>
    <col min="7448" max="7448" width="9.81640625" style="172" bestFit="1" customWidth="1"/>
    <col min="7449" max="7680" width="9.1796875" style="172"/>
    <col min="7681" max="7681" width="10.26953125" style="172" customWidth="1"/>
    <col min="7682" max="7682" width="34.26953125" style="172" customWidth="1"/>
    <col min="7683" max="7683" width="16.453125" style="172" customWidth="1"/>
    <col min="7684" max="7684" width="6.7265625" style="172" customWidth="1"/>
    <col min="7685" max="7685" width="14.54296875" style="172" customWidth="1"/>
    <col min="7686" max="7686" width="8" style="172" customWidth="1"/>
    <col min="7687" max="7687" width="15.453125" style="172" customWidth="1"/>
    <col min="7688" max="7688" width="23.7265625" style="172" bestFit="1" customWidth="1"/>
    <col min="7689" max="7689" width="29.1796875" style="172" bestFit="1" customWidth="1"/>
    <col min="7690" max="7690" width="22.81640625" style="172" customWidth="1"/>
    <col min="7691" max="7691" width="15.54296875" style="172" customWidth="1"/>
    <col min="7692" max="7692" width="2" style="172" customWidth="1"/>
    <col min="7693" max="7693" width="7.26953125" style="172" customWidth="1"/>
    <col min="7694" max="7694" width="1.54296875" style="172" customWidth="1"/>
    <col min="7695" max="7695" width="1" style="172" customWidth="1"/>
    <col min="7696" max="7696" width="16.453125" style="172" customWidth="1"/>
    <col min="7697" max="7697" width="1.453125" style="172" customWidth="1"/>
    <col min="7698" max="7698" width="2.453125" style="172" customWidth="1"/>
    <col min="7699" max="7699" width="13" style="172" customWidth="1"/>
    <col min="7700" max="7700" width="3.1796875" style="172" customWidth="1"/>
    <col min="7701" max="7701" width="21.453125" style="172" customWidth="1"/>
    <col min="7702" max="7702" width="9.1796875" style="172"/>
    <col min="7703" max="7703" width="10" style="172" bestFit="1" customWidth="1"/>
    <col min="7704" max="7704" width="9.81640625" style="172" bestFit="1" customWidth="1"/>
    <col min="7705" max="7936" width="9.1796875" style="172"/>
    <col min="7937" max="7937" width="10.26953125" style="172" customWidth="1"/>
    <col min="7938" max="7938" width="34.26953125" style="172" customWidth="1"/>
    <col min="7939" max="7939" width="16.453125" style="172" customWidth="1"/>
    <col min="7940" max="7940" width="6.7265625" style="172" customWidth="1"/>
    <col min="7941" max="7941" width="14.54296875" style="172" customWidth="1"/>
    <col min="7942" max="7942" width="8" style="172" customWidth="1"/>
    <col min="7943" max="7943" width="15.453125" style="172" customWidth="1"/>
    <col min="7944" max="7944" width="23.7265625" style="172" bestFit="1" customWidth="1"/>
    <col min="7945" max="7945" width="29.1796875" style="172" bestFit="1" customWidth="1"/>
    <col min="7946" max="7946" width="22.81640625" style="172" customWidth="1"/>
    <col min="7947" max="7947" width="15.54296875" style="172" customWidth="1"/>
    <col min="7948" max="7948" width="2" style="172" customWidth="1"/>
    <col min="7949" max="7949" width="7.26953125" style="172" customWidth="1"/>
    <col min="7950" max="7950" width="1.54296875" style="172" customWidth="1"/>
    <col min="7951" max="7951" width="1" style="172" customWidth="1"/>
    <col min="7952" max="7952" width="16.453125" style="172" customWidth="1"/>
    <col min="7953" max="7953" width="1.453125" style="172" customWidth="1"/>
    <col min="7954" max="7954" width="2.453125" style="172" customWidth="1"/>
    <col min="7955" max="7955" width="13" style="172" customWidth="1"/>
    <col min="7956" max="7956" width="3.1796875" style="172" customWidth="1"/>
    <col min="7957" max="7957" width="21.453125" style="172" customWidth="1"/>
    <col min="7958" max="7958" width="9.1796875" style="172"/>
    <col min="7959" max="7959" width="10" style="172" bestFit="1" customWidth="1"/>
    <col min="7960" max="7960" width="9.81640625" style="172" bestFit="1" customWidth="1"/>
    <col min="7961" max="8192" width="9.1796875" style="172"/>
    <col min="8193" max="8193" width="10.26953125" style="172" customWidth="1"/>
    <col min="8194" max="8194" width="34.26953125" style="172" customWidth="1"/>
    <col min="8195" max="8195" width="16.453125" style="172" customWidth="1"/>
    <col min="8196" max="8196" width="6.7265625" style="172" customWidth="1"/>
    <col min="8197" max="8197" width="14.54296875" style="172" customWidth="1"/>
    <col min="8198" max="8198" width="8" style="172" customWidth="1"/>
    <col min="8199" max="8199" width="15.453125" style="172" customWidth="1"/>
    <col min="8200" max="8200" width="23.7265625" style="172" bestFit="1" customWidth="1"/>
    <col min="8201" max="8201" width="29.1796875" style="172" bestFit="1" customWidth="1"/>
    <col min="8202" max="8202" width="22.81640625" style="172" customWidth="1"/>
    <col min="8203" max="8203" width="15.54296875" style="172" customWidth="1"/>
    <col min="8204" max="8204" width="2" style="172" customWidth="1"/>
    <col min="8205" max="8205" width="7.26953125" style="172" customWidth="1"/>
    <col min="8206" max="8206" width="1.54296875" style="172" customWidth="1"/>
    <col min="8207" max="8207" width="1" style="172" customWidth="1"/>
    <col min="8208" max="8208" width="16.453125" style="172" customWidth="1"/>
    <col min="8209" max="8209" width="1.453125" style="172" customWidth="1"/>
    <col min="8210" max="8210" width="2.453125" style="172" customWidth="1"/>
    <col min="8211" max="8211" width="13" style="172" customWidth="1"/>
    <col min="8212" max="8212" width="3.1796875" style="172" customWidth="1"/>
    <col min="8213" max="8213" width="21.453125" style="172" customWidth="1"/>
    <col min="8214" max="8214" width="9.1796875" style="172"/>
    <col min="8215" max="8215" width="10" style="172" bestFit="1" customWidth="1"/>
    <col min="8216" max="8216" width="9.81640625" style="172" bestFit="1" customWidth="1"/>
    <col min="8217" max="8448" width="9.1796875" style="172"/>
    <col min="8449" max="8449" width="10.26953125" style="172" customWidth="1"/>
    <col min="8450" max="8450" width="34.26953125" style="172" customWidth="1"/>
    <col min="8451" max="8451" width="16.453125" style="172" customWidth="1"/>
    <col min="8452" max="8452" width="6.7265625" style="172" customWidth="1"/>
    <col min="8453" max="8453" width="14.54296875" style="172" customWidth="1"/>
    <col min="8454" max="8454" width="8" style="172" customWidth="1"/>
    <col min="8455" max="8455" width="15.453125" style="172" customWidth="1"/>
    <col min="8456" max="8456" width="23.7265625" style="172" bestFit="1" customWidth="1"/>
    <col min="8457" max="8457" width="29.1796875" style="172" bestFit="1" customWidth="1"/>
    <col min="8458" max="8458" width="22.81640625" style="172" customWidth="1"/>
    <col min="8459" max="8459" width="15.54296875" style="172" customWidth="1"/>
    <col min="8460" max="8460" width="2" style="172" customWidth="1"/>
    <col min="8461" max="8461" width="7.26953125" style="172" customWidth="1"/>
    <col min="8462" max="8462" width="1.54296875" style="172" customWidth="1"/>
    <col min="8463" max="8463" width="1" style="172" customWidth="1"/>
    <col min="8464" max="8464" width="16.453125" style="172" customWidth="1"/>
    <col min="8465" max="8465" width="1.453125" style="172" customWidth="1"/>
    <col min="8466" max="8466" width="2.453125" style="172" customWidth="1"/>
    <col min="8467" max="8467" width="13" style="172" customWidth="1"/>
    <col min="8468" max="8468" width="3.1796875" style="172" customWidth="1"/>
    <col min="8469" max="8469" width="21.453125" style="172" customWidth="1"/>
    <col min="8470" max="8470" width="9.1796875" style="172"/>
    <col min="8471" max="8471" width="10" style="172" bestFit="1" customWidth="1"/>
    <col min="8472" max="8472" width="9.81640625" style="172" bestFit="1" customWidth="1"/>
    <col min="8473" max="8704" width="9.1796875" style="172"/>
    <col min="8705" max="8705" width="10.26953125" style="172" customWidth="1"/>
    <col min="8706" max="8706" width="34.26953125" style="172" customWidth="1"/>
    <col min="8707" max="8707" width="16.453125" style="172" customWidth="1"/>
    <col min="8708" max="8708" width="6.7265625" style="172" customWidth="1"/>
    <col min="8709" max="8709" width="14.54296875" style="172" customWidth="1"/>
    <col min="8710" max="8710" width="8" style="172" customWidth="1"/>
    <col min="8711" max="8711" width="15.453125" style="172" customWidth="1"/>
    <col min="8712" max="8712" width="23.7265625" style="172" bestFit="1" customWidth="1"/>
    <col min="8713" max="8713" width="29.1796875" style="172" bestFit="1" customWidth="1"/>
    <col min="8714" max="8714" width="22.81640625" style="172" customWidth="1"/>
    <col min="8715" max="8715" width="15.54296875" style="172" customWidth="1"/>
    <col min="8716" max="8716" width="2" style="172" customWidth="1"/>
    <col min="8717" max="8717" width="7.26953125" style="172" customWidth="1"/>
    <col min="8718" max="8718" width="1.54296875" style="172" customWidth="1"/>
    <col min="8719" max="8719" width="1" style="172" customWidth="1"/>
    <col min="8720" max="8720" width="16.453125" style="172" customWidth="1"/>
    <col min="8721" max="8721" width="1.453125" style="172" customWidth="1"/>
    <col min="8722" max="8722" width="2.453125" style="172" customWidth="1"/>
    <col min="8723" max="8723" width="13" style="172" customWidth="1"/>
    <col min="8724" max="8724" width="3.1796875" style="172" customWidth="1"/>
    <col min="8725" max="8725" width="21.453125" style="172" customWidth="1"/>
    <col min="8726" max="8726" width="9.1796875" style="172"/>
    <col min="8727" max="8727" width="10" style="172" bestFit="1" customWidth="1"/>
    <col min="8728" max="8728" width="9.81640625" style="172" bestFit="1" customWidth="1"/>
    <col min="8729" max="8960" width="9.1796875" style="172"/>
    <col min="8961" max="8961" width="10.26953125" style="172" customWidth="1"/>
    <col min="8962" max="8962" width="34.26953125" style="172" customWidth="1"/>
    <col min="8963" max="8963" width="16.453125" style="172" customWidth="1"/>
    <col min="8964" max="8964" width="6.7265625" style="172" customWidth="1"/>
    <col min="8965" max="8965" width="14.54296875" style="172" customWidth="1"/>
    <col min="8966" max="8966" width="8" style="172" customWidth="1"/>
    <col min="8967" max="8967" width="15.453125" style="172" customWidth="1"/>
    <col min="8968" max="8968" width="23.7265625" style="172" bestFit="1" customWidth="1"/>
    <col min="8969" max="8969" width="29.1796875" style="172" bestFit="1" customWidth="1"/>
    <col min="8970" max="8970" width="22.81640625" style="172" customWidth="1"/>
    <col min="8971" max="8971" width="15.54296875" style="172" customWidth="1"/>
    <col min="8972" max="8972" width="2" style="172" customWidth="1"/>
    <col min="8973" max="8973" width="7.26953125" style="172" customWidth="1"/>
    <col min="8974" max="8974" width="1.54296875" style="172" customWidth="1"/>
    <col min="8975" max="8975" width="1" style="172" customWidth="1"/>
    <col min="8976" max="8976" width="16.453125" style="172" customWidth="1"/>
    <col min="8977" max="8977" width="1.453125" style="172" customWidth="1"/>
    <col min="8978" max="8978" width="2.453125" style="172" customWidth="1"/>
    <col min="8979" max="8979" width="13" style="172" customWidth="1"/>
    <col min="8980" max="8980" width="3.1796875" style="172" customWidth="1"/>
    <col min="8981" max="8981" width="21.453125" style="172" customWidth="1"/>
    <col min="8982" max="8982" width="9.1796875" style="172"/>
    <col min="8983" max="8983" width="10" style="172" bestFit="1" customWidth="1"/>
    <col min="8984" max="8984" width="9.81640625" style="172" bestFit="1" customWidth="1"/>
    <col min="8985" max="9216" width="9.1796875" style="172"/>
    <col min="9217" max="9217" width="10.26953125" style="172" customWidth="1"/>
    <col min="9218" max="9218" width="34.26953125" style="172" customWidth="1"/>
    <col min="9219" max="9219" width="16.453125" style="172" customWidth="1"/>
    <col min="9220" max="9220" width="6.7265625" style="172" customWidth="1"/>
    <col min="9221" max="9221" width="14.54296875" style="172" customWidth="1"/>
    <col min="9222" max="9222" width="8" style="172" customWidth="1"/>
    <col min="9223" max="9223" width="15.453125" style="172" customWidth="1"/>
    <col min="9224" max="9224" width="23.7265625" style="172" bestFit="1" customWidth="1"/>
    <col min="9225" max="9225" width="29.1796875" style="172" bestFit="1" customWidth="1"/>
    <col min="9226" max="9226" width="22.81640625" style="172" customWidth="1"/>
    <col min="9227" max="9227" width="15.54296875" style="172" customWidth="1"/>
    <col min="9228" max="9228" width="2" style="172" customWidth="1"/>
    <col min="9229" max="9229" width="7.26953125" style="172" customWidth="1"/>
    <col min="9230" max="9230" width="1.54296875" style="172" customWidth="1"/>
    <col min="9231" max="9231" width="1" style="172" customWidth="1"/>
    <col min="9232" max="9232" width="16.453125" style="172" customWidth="1"/>
    <col min="9233" max="9233" width="1.453125" style="172" customWidth="1"/>
    <col min="9234" max="9234" width="2.453125" style="172" customWidth="1"/>
    <col min="9235" max="9235" width="13" style="172" customWidth="1"/>
    <col min="9236" max="9236" width="3.1796875" style="172" customWidth="1"/>
    <col min="9237" max="9237" width="21.453125" style="172" customWidth="1"/>
    <col min="9238" max="9238" width="9.1796875" style="172"/>
    <col min="9239" max="9239" width="10" style="172" bestFit="1" customWidth="1"/>
    <col min="9240" max="9240" width="9.81640625" style="172" bestFit="1" customWidth="1"/>
    <col min="9241" max="9472" width="9.1796875" style="172"/>
    <col min="9473" max="9473" width="10.26953125" style="172" customWidth="1"/>
    <col min="9474" max="9474" width="34.26953125" style="172" customWidth="1"/>
    <col min="9475" max="9475" width="16.453125" style="172" customWidth="1"/>
    <col min="9476" max="9476" width="6.7265625" style="172" customWidth="1"/>
    <col min="9477" max="9477" width="14.54296875" style="172" customWidth="1"/>
    <col min="9478" max="9478" width="8" style="172" customWidth="1"/>
    <col min="9479" max="9479" width="15.453125" style="172" customWidth="1"/>
    <col min="9480" max="9480" width="23.7265625" style="172" bestFit="1" customWidth="1"/>
    <col min="9481" max="9481" width="29.1796875" style="172" bestFit="1" customWidth="1"/>
    <col min="9482" max="9482" width="22.81640625" style="172" customWidth="1"/>
    <col min="9483" max="9483" width="15.54296875" style="172" customWidth="1"/>
    <col min="9484" max="9484" width="2" style="172" customWidth="1"/>
    <col min="9485" max="9485" width="7.26953125" style="172" customWidth="1"/>
    <col min="9486" max="9486" width="1.54296875" style="172" customWidth="1"/>
    <col min="9487" max="9487" width="1" style="172" customWidth="1"/>
    <col min="9488" max="9488" width="16.453125" style="172" customWidth="1"/>
    <col min="9489" max="9489" width="1.453125" style="172" customWidth="1"/>
    <col min="9490" max="9490" width="2.453125" style="172" customWidth="1"/>
    <col min="9491" max="9491" width="13" style="172" customWidth="1"/>
    <col min="9492" max="9492" width="3.1796875" style="172" customWidth="1"/>
    <col min="9493" max="9493" width="21.453125" style="172" customWidth="1"/>
    <col min="9494" max="9494" width="9.1796875" style="172"/>
    <col min="9495" max="9495" width="10" style="172" bestFit="1" customWidth="1"/>
    <col min="9496" max="9496" width="9.81640625" style="172" bestFit="1" customWidth="1"/>
    <col min="9497" max="9728" width="9.1796875" style="172"/>
    <col min="9729" max="9729" width="10.26953125" style="172" customWidth="1"/>
    <col min="9730" max="9730" width="34.26953125" style="172" customWidth="1"/>
    <col min="9731" max="9731" width="16.453125" style="172" customWidth="1"/>
    <col min="9732" max="9732" width="6.7265625" style="172" customWidth="1"/>
    <col min="9733" max="9733" width="14.54296875" style="172" customWidth="1"/>
    <col min="9734" max="9734" width="8" style="172" customWidth="1"/>
    <col min="9735" max="9735" width="15.453125" style="172" customWidth="1"/>
    <col min="9736" max="9736" width="23.7265625" style="172" bestFit="1" customWidth="1"/>
    <col min="9737" max="9737" width="29.1796875" style="172" bestFit="1" customWidth="1"/>
    <col min="9738" max="9738" width="22.81640625" style="172" customWidth="1"/>
    <col min="9739" max="9739" width="15.54296875" style="172" customWidth="1"/>
    <col min="9740" max="9740" width="2" style="172" customWidth="1"/>
    <col min="9741" max="9741" width="7.26953125" style="172" customWidth="1"/>
    <col min="9742" max="9742" width="1.54296875" style="172" customWidth="1"/>
    <col min="9743" max="9743" width="1" style="172" customWidth="1"/>
    <col min="9744" max="9744" width="16.453125" style="172" customWidth="1"/>
    <col min="9745" max="9745" width="1.453125" style="172" customWidth="1"/>
    <col min="9746" max="9746" width="2.453125" style="172" customWidth="1"/>
    <col min="9747" max="9747" width="13" style="172" customWidth="1"/>
    <col min="9748" max="9748" width="3.1796875" style="172" customWidth="1"/>
    <col min="9749" max="9749" width="21.453125" style="172" customWidth="1"/>
    <col min="9750" max="9750" width="9.1796875" style="172"/>
    <col min="9751" max="9751" width="10" style="172" bestFit="1" customWidth="1"/>
    <col min="9752" max="9752" width="9.81640625" style="172" bestFit="1" customWidth="1"/>
    <col min="9753" max="9984" width="9.1796875" style="172"/>
    <col min="9985" max="9985" width="10.26953125" style="172" customWidth="1"/>
    <col min="9986" max="9986" width="34.26953125" style="172" customWidth="1"/>
    <col min="9987" max="9987" width="16.453125" style="172" customWidth="1"/>
    <col min="9988" max="9988" width="6.7265625" style="172" customWidth="1"/>
    <col min="9989" max="9989" width="14.54296875" style="172" customWidth="1"/>
    <col min="9990" max="9990" width="8" style="172" customWidth="1"/>
    <col min="9991" max="9991" width="15.453125" style="172" customWidth="1"/>
    <col min="9992" max="9992" width="23.7265625" style="172" bestFit="1" customWidth="1"/>
    <col min="9993" max="9993" width="29.1796875" style="172" bestFit="1" customWidth="1"/>
    <col min="9994" max="9994" width="22.81640625" style="172" customWidth="1"/>
    <col min="9995" max="9995" width="15.54296875" style="172" customWidth="1"/>
    <col min="9996" max="9996" width="2" style="172" customWidth="1"/>
    <col min="9997" max="9997" width="7.26953125" style="172" customWidth="1"/>
    <col min="9998" max="9998" width="1.54296875" style="172" customWidth="1"/>
    <col min="9999" max="9999" width="1" style="172" customWidth="1"/>
    <col min="10000" max="10000" width="16.453125" style="172" customWidth="1"/>
    <col min="10001" max="10001" width="1.453125" style="172" customWidth="1"/>
    <col min="10002" max="10002" width="2.453125" style="172" customWidth="1"/>
    <col min="10003" max="10003" width="13" style="172" customWidth="1"/>
    <col min="10004" max="10004" width="3.1796875" style="172" customWidth="1"/>
    <col min="10005" max="10005" width="21.453125" style="172" customWidth="1"/>
    <col min="10006" max="10006" width="9.1796875" style="172"/>
    <col min="10007" max="10007" width="10" style="172" bestFit="1" customWidth="1"/>
    <col min="10008" max="10008" width="9.81640625" style="172" bestFit="1" customWidth="1"/>
    <col min="10009" max="10240" width="9.1796875" style="172"/>
    <col min="10241" max="10241" width="10.26953125" style="172" customWidth="1"/>
    <col min="10242" max="10242" width="34.26953125" style="172" customWidth="1"/>
    <col min="10243" max="10243" width="16.453125" style="172" customWidth="1"/>
    <col min="10244" max="10244" width="6.7265625" style="172" customWidth="1"/>
    <col min="10245" max="10245" width="14.54296875" style="172" customWidth="1"/>
    <col min="10246" max="10246" width="8" style="172" customWidth="1"/>
    <col min="10247" max="10247" width="15.453125" style="172" customWidth="1"/>
    <col min="10248" max="10248" width="23.7265625" style="172" bestFit="1" customWidth="1"/>
    <col min="10249" max="10249" width="29.1796875" style="172" bestFit="1" customWidth="1"/>
    <col min="10250" max="10250" width="22.81640625" style="172" customWidth="1"/>
    <col min="10251" max="10251" width="15.54296875" style="172" customWidth="1"/>
    <col min="10252" max="10252" width="2" style="172" customWidth="1"/>
    <col min="10253" max="10253" width="7.26953125" style="172" customWidth="1"/>
    <col min="10254" max="10254" width="1.54296875" style="172" customWidth="1"/>
    <col min="10255" max="10255" width="1" style="172" customWidth="1"/>
    <col min="10256" max="10256" width="16.453125" style="172" customWidth="1"/>
    <col min="10257" max="10257" width="1.453125" style="172" customWidth="1"/>
    <col min="10258" max="10258" width="2.453125" style="172" customWidth="1"/>
    <col min="10259" max="10259" width="13" style="172" customWidth="1"/>
    <col min="10260" max="10260" width="3.1796875" style="172" customWidth="1"/>
    <col min="10261" max="10261" width="21.453125" style="172" customWidth="1"/>
    <col min="10262" max="10262" width="9.1796875" style="172"/>
    <col min="10263" max="10263" width="10" style="172" bestFit="1" customWidth="1"/>
    <col min="10264" max="10264" width="9.81640625" style="172" bestFit="1" customWidth="1"/>
    <col min="10265" max="10496" width="9.1796875" style="172"/>
    <col min="10497" max="10497" width="10.26953125" style="172" customWidth="1"/>
    <col min="10498" max="10498" width="34.26953125" style="172" customWidth="1"/>
    <col min="10499" max="10499" width="16.453125" style="172" customWidth="1"/>
    <col min="10500" max="10500" width="6.7265625" style="172" customWidth="1"/>
    <col min="10501" max="10501" width="14.54296875" style="172" customWidth="1"/>
    <col min="10502" max="10502" width="8" style="172" customWidth="1"/>
    <col min="10503" max="10503" width="15.453125" style="172" customWidth="1"/>
    <col min="10504" max="10504" width="23.7265625" style="172" bestFit="1" customWidth="1"/>
    <col min="10505" max="10505" width="29.1796875" style="172" bestFit="1" customWidth="1"/>
    <col min="10506" max="10506" width="22.81640625" style="172" customWidth="1"/>
    <col min="10507" max="10507" width="15.54296875" style="172" customWidth="1"/>
    <col min="10508" max="10508" width="2" style="172" customWidth="1"/>
    <col min="10509" max="10509" width="7.26953125" style="172" customWidth="1"/>
    <col min="10510" max="10510" width="1.54296875" style="172" customWidth="1"/>
    <col min="10511" max="10511" width="1" style="172" customWidth="1"/>
    <col min="10512" max="10512" width="16.453125" style="172" customWidth="1"/>
    <col min="10513" max="10513" width="1.453125" style="172" customWidth="1"/>
    <col min="10514" max="10514" width="2.453125" style="172" customWidth="1"/>
    <col min="10515" max="10515" width="13" style="172" customWidth="1"/>
    <col min="10516" max="10516" width="3.1796875" style="172" customWidth="1"/>
    <col min="10517" max="10517" width="21.453125" style="172" customWidth="1"/>
    <col min="10518" max="10518" width="9.1796875" style="172"/>
    <col min="10519" max="10519" width="10" style="172" bestFit="1" customWidth="1"/>
    <col min="10520" max="10520" width="9.81640625" style="172" bestFit="1" customWidth="1"/>
    <col min="10521" max="10752" width="9.1796875" style="172"/>
    <col min="10753" max="10753" width="10.26953125" style="172" customWidth="1"/>
    <col min="10754" max="10754" width="34.26953125" style="172" customWidth="1"/>
    <col min="10755" max="10755" width="16.453125" style="172" customWidth="1"/>
    <col min="10756" max="10756" width="6.7265625" style="172" customWidth="1"/>
    <col min="10757" max="10757" width="14.54296875" style="172" customWidth="1"/>
    <col min="10758" max="10758" width="8" style="172" customWidth="1"/>
    <col min="10759" max="10759" width="15.453125" style="172" customWidth="1"/>
    <col min="10760" max="10760" width="23.7265625" style="172" bestFit="1" customWidth="1"/>
    <col min="10761" max="10761" width="29.1796875" style="172" bestFit="1" customWidth="1"/>
    <col min="10762" max="10762" width="22.81640625" style="172" customWidth="1"/>
    <col min="10763" max="10763" width="15.54296875" style="172" customWidth="1"/>
    <col min="10764" max="10764" width="2" style="172" customWidth="1"/>
    <col min="10765" max="10765" width="7.26953125" style="172" customWidth="1"/>
    <col min="10766" max="10766" width="1.54296875" style="172" customWidth="1"/>
    <col min="10767" max="10767" width="1" style="172" customWidth="1"/>
    <col min="10768" max="10768" width="16.453125" style="172" customWidth="1"/>
    <col min="10769" max="10769" width="1.453125" style="172" customWidth="1"/>
    <col min="10770" max="10770" width="2.453125" style="172" customWidth="1"/>
    <col min="10771" max="10771" width="13" style="172" customWidth="1"/>
    <col min="10772" max="10772" width="3.1796875" style="172" customWidth="1"/>
    <col min="10773" max="10773" width="21.453125" style="172" customWidth="1"/>
    <col min="10774" max="10774" width="9.1796875" style="172"/>
    <col min="10775" max="10775" width="10" style="172" bestFit="1" customWidth="1"/>
    <col min="10776" max="10776" width="9.81640625" style="172" bestFit="1" customWidth="1"/>
    <col min="10777" max="11008" width="9.1796875" style="172"/>
    <col min="11009" max="11009" width="10.26953125" style="172" customWidth="1"/>
    <col min="11010" max="11010" width="34.26953125" style="172" customWidth="1"/>
    <col min="11011" max="11011" width="16.453125" style="172" customWidth="1"/>
    <col min="11012" max="11012" width="6.7265625" style="172" customWidth="1"/>
    <col min="11013" max="11013" width="14.54296875" style="172" customWidth="1"/>
    <col min="11014" max="11014" width="8" style="172" customWidth="1"/>
    <col min="11015" max="11015" width="15.453125" style="172" customWidth="1"/>
    <col min="11016" max="11016" width="23.7265625" style="172" bestFit="1" customWidth="1"/>
    <col min="11017" max="11017" width="29.1796875" style="172" bestFit="1" customWidth="1"/>
    <col min="11018" max="11018" width="22.81640625" style="172" customWidth="1"/>
    <col min="11019" max="11019" width="15.54296875" style="172" customWidth="1"/>
    <col min="11020" max="11020" width="2" style="172" customWidth="1"/>
    <col min="11021" max="11021" width="7.26953125" style="172" customWidth="1"/>
    <col min="11022" max="11022" width="1.54296875" style="172" customWidth="1"/>
    <col min="11023" max="11023" width="1" style="172" customWidth="1"/>
    <col min="11024" max="11024" width="16.453125" style="172" customWidth="1"/>
    <col min="11025" max="11025" width="1.453125" style="172" customWidth="1"/>
    <col min="11026" max="11026" width="2.453125" style="172" customWidth="1"/>
    <col min="11027" max="11027" width="13" style="172" customWidth="1"/>
    <col min="11028" max="11028" width="3.1796875" style="172" customWidth="1"/>
    <col min="11029" max="11029" width="21.453125" style="172" customWidth="1"/>
    <col min="11030" max="11030" width="9.1796875" style="172"/>
    <col min="11031" max="11031" width="10" style="172" bestFit="1" customWidth="1"/>
    <col min="11032" max="11032" width="9.81640625" style="172" bestFit="1" customWidth="1"/>
    <col min="11033" max="11264" width="9.1796875" style="172"/>
    <col min="11265" max="11265" width="10.26953125" style="172" customWidth="1"/>
    <col min="11266" max="11266" width="34.26953125" style="172" customWidth="1"/>
    <col min="11267" max="11267" width="16.453125" style="172" customWidth="1"/>
    <col min="11268" max="11268" width="6.7265625" style="172" customWidth="1"/>
    <col min="11269" max="11269" width="14.54296875" style="172" customWidth="1"/>
    <col min="11270" max="11270" width="8" style="172" customWidth="1"/>
    <col min="11271" max="11271" width="15.453125" style="172" customWidth="1"/>
    <col min="11272" max="11272" width="23.7265625" style="172" bestFit="1" customWidth="1"/>
    <col min="11273" max="11273" width="29.1796875" style="172" bestFit="1" customWidth="1"/>
    <col min="11274" max="11274" width="22.81640625" style="172" customWidth="1"/>
    <col min="11275" max="11275" width="15.54296875" style="172" customWidth="1"/>
    <col min="11276" max="11276" width="2" style="172" customWidth="1"/>
    <col min="11277" max="11277" width="7.26953125" style="172" customWidth="1"/>
    <col min="11278" max="11278" width="1.54296875" style="172" customWidth="1"/>
    <col min="11279" max="11279" width="1" style="172" customWidth="1"/>
    <col min="11280" max="11280" width="16.453125" style="172" customWidth="1"/>
    <col min="11281" max="11281" width="1.453125" style="172" customWidth="1"/>
    <col min="11282" max="11282" width="2.453125" style="172" customWidth="1"/>
    <col min="11283" max="11283" width="13" style="172" customWidth="1"/>
    <col min="11284" max="11284" width="3.1796875" style="172" customWidth="1"/>
    <col min="11285" max="11285" width="21.453125" style="172" customWidth="1"/>
    <col min="11286" max="11286" width="9.1796875" style="172"/>
    <col min="11287" max="11287" width="10" style="172" bestFit="1" customWidth="1"/>
    <col min="11288" max="11288" width="9.81640625" style="172" bestFit="1" customWidth="1"/>
    <col min="11289" max="11520" width="9.1796875" style="172"/>
    <col min="11521" max="11521" width="10.26953125" style="172" customWidth="1"/>
    <col min="11522" max="11522" width="34.26953125" style="172" customWidth="1"/>
    <col min="11523" max="11523" width="16.453125" style="172" customWidth="1"/>
    <col min="11524" max="11524" width="6.7265625" style="172" customWidth="1"/>
    <col min="11525" max="11525" width="14.54296875" style="172" customWidth="1"/>
    <col min="11526" max="11526" width="8" style="172" customWidth="1"/>
    <col min="11527" max="11527" width="15.453125" style="172" customWidth="1"/>
    <col min="11528" max="11528" width="23.7265625" style="172" bestFit="1" customWidth="1"/>
    <col min="11529" max="11529" width="29.1796875" style="172" bestFit="1" customWidth="1"/>
    <col min="11530" max="11530" width="22.81640625" style="172" customWidth="1"/>
    <col min="11531" max="11531" width="15.54296875" style="172" customWidth="1"/>
    <col min="11532" max="11532" width="2" style="172" customWidth="1"/>
    <col min="11533" max="11533" width="7.26953125" style="172" customWidth="1"/>
    <col min="11534" max="11534" width="1.54296875" style="172" customWidth="1"/>
    <col min="11535" max="11535" width="1" style="172" customWidth="1"/>
    <col min="11536" max="11536" width="16.453125" style="172" customWidth="1"/>
    <col min="11537" max="11537" width="1.453125" style="172" customWidth="1"/>
    <col min="11538" max="11538" width="2.453125" style="172" customWidth="1"/>
    <col min="11539" max="11539" width="13" style="172" customWidth="1"/>
    <col min="11540" max="11540" width="3.1796875" style="172" customWidth="1"/>
    <col min="11541" max="11541" width="21.453125" style="172" customWidth="1"/>
    <col min="11542" max="11542" width="9.1796875" style="172"/>
    <col min="11543" max="11543" width="10" style="172" bestFit="1" customWidth="1"/>
    <col min="11544" max="11544" width="9.81640625" style="172" bestFit="1" customWidth="1"/>
    <col min="11545" max="11776" width="9.1796875" style="172"/>
    <col min="11777" max="11777" width="10.26953125" style="172" customWidth="1"/>
    <col min="11778" max="11778" width="34.26953125" style="172" customWidth="1"/>
    <col min="11779" max="11779" width="16.453125" style="172" customWidth="1"/>
    <col min="11780" max="11780" width="6.7265625" style="172" customWidth="1"/>
    <col min="11781" max="11781" width="14.54296875" style="172" customWidth="1"/>
    <col min="11782" max="11782" width="8" style="172" customWidth="1"/>
    <col min="11783" max="11783" width="15.453125" style="172" customWidth="1"/>
    <col min="11784" max="11784" width="23.7265625" style="172" bestFit="1" customWidth="1"/>
    <col min="11785" max="11785" width="29.1796875" style="172" bestFit="1" customWidth="1"/>
    <col min="11786" max="11786" width="22.81640625" style="172" customWidth="1"/>
    <col min="11787" max="11787" width="15.54296875" style="172" customWidth="1"/>
    <col min="11788" max="11788" width="2" style="172" customWidth="1"/>
    <col min="11789" max="11789" width="7.26953125" style="172" customWidth="1"/>
    <col min="11790" max="11790" width="1.54296875" style="172" customWidth="1"/>
    <col min="11791" max="11791" width="1" style="172" customWidth="1"/>
    <col min="11792" max="11792" width="16.453125" style="172" customWidth="1"/>
    <col min="11793" max="11793" width="1.453125" style="172" customWidth="1"/>
    <col min="11794" max="11794" width="2.453125" style="172" customWidth="1"/>
    <col min="11795" max="11795" width="13" style="172" customWidth="1"/>
    <col min="11796" max="11796" width="3.1796875" style="172" customWidth="1"/>
    <col min="11797" max="11797" width="21.453125" style="172" customWidth="1"/>
    <col min="11798" max="11798" width="9.1796875" style="172"/>
    <col min="11799" max="11799" width="10" style="172" bestFit="1" customWidth="1"/>
    <col min="11800" max="11800" width="9.81640625" style="172" bestFit="1" customWidth="1"/>
    <col min="11801" max="12032" width="9.1796875" style="172"/>
    <col min="12033" max="12033" width="10.26953125" style="172" customWidth="1"/>
    <col min="12034" max="12034" width="34.26953125" style="172" customWidth="1"/>
    <col min="12035" max="12035" width="16.453125" style="172" customWidth="1"/>
    <col min="12036" max="12036" width="6.7265625" style="172" customWidth="1"/>
    <col min="12037" max="12037" width="14.54296875" style="172" customWidth="1"/>
    <col min="12038" max="12038" width="8" style="172" customWidth="1"/>
    <col min="12039" max="12039" width="15.453125" style="172" customWidth="1"/>
    <col min="12040" max="12040" width="23.7265625" style="172" bestFit="1" customWidth="1"/>
    <col min="12041" max="12041" width="29.1796875" style="172" bestFit="1" customWidth="1"/>
    <col min="12042" max="12042" width="22.81640625" style="172" customWidth="1"/>
    <col min="12043" max="12043" width="15.54296875" style="172" customWidth="1"/>
    <col min="12044" max="12044" width="2" style="172" customWidth="1"/>
    <col min="12045" max="12045" width="7.26953125" style="172" customWidth="1"/>
    <col min="12046" max="12046" width="1.54296875" style="172" customWidth="1"/>
    <col min="12047" max="12047" width="1" style="172" customWidth="1"/>
    <col min="12048" max="12048" width="16.453125" style="172" customWidth="1"/>
    <col min="12049" max="12049" width="1.453125" style="172" customWidth="1"/>
    <col min="12050" max="12050" width="2.453125" style="172" customWidth="1"/>
    <col min="12051" max="12051" width="13" style="172" customWidth="1"/>
    <col min="12052" max="12052" width="3.1796875" style="172" customWidth="1"/>
    <col min="12053" max="12053" width="21.453125" style="172" customWidth="1"/>
    <col min="12054" max="12054" width="9.1796875" style="172"/>
    <col min="12055" max="12055" width="10" style="172" bestFit="1" customWidth="1"/>
    <col min="12056" max="12056" width="9.81640625" style="172" bestFit="1" customWidth="1"/>
    <col min="12057" max="12288" width="9.1796875" style="172"/>
    <col min="12289" max="12289" width="10.26953125" style="172" customWidth="1"/>
    <col min="12290" max="12290" width="34.26953125" style="172" customWidth="1"/>
    <col min="12291" max="12291" width="16.453125" style="172" customWidth="1"/>
    <col min="12292" max="12292" width="6.7265625" style="172" customWidth="1"/>
    <col min="12293" max="12293" width="14.54296875" style="172" customWidth="1"/>
    <col min="12294" max="12294" width="8" style="172" customWidth="1"/>
    <col min="12295" max="12295" width="15.453125" style="172" customWidth="1"/>
    <col min="12296" max="12296" width="23.7265625" style="172" bestFit="1" customWidth="1"/>
    <col min="12297" max="12297" width="29.1796875" style="172" bestFit="1" customWidth="1"/>
    <col min="12298" max="12298" width="22.81640625" style="172" customWidth="1"/>
    <col min="12299" max="12299" width="15.54296875" style="172" customWidth="1"/>
    <col min="12300" max="12300" width="2" style="172" customWidth="1"/>
    <col min="12301" max="12301" width="7.26953125" style="172" customWidth="1"/>
    <col min="12302" max="12302" width="1.54296875" style="172" customWidth="1"/>
    <col min="12303" max="12303" width="1" style="172" customWidth="1"/>
    <col min="12304" max="12304" width="16.453125" style="172" customWidth="1"/>
    <col min="12305" max="12305" width="1.453125" style="172" customWidth="1"/>
    <col min="12306" max="12306" width="2.453125" style="172" customWidth="1"/>
    <col min="12307" max="12307" width="13" style="172" customWidth="1"/>
    <col min="12308" max="12308" width="3.1796875" style="172" customWidth="1"/>
    <col min="12309" max="12309" width="21.453125" style="172" customWidth="1"/>
    <col min="12310" max="12310" width="9.1796875" style="172"/>
    <col min="12311" max="12311" width="10" style="172" bestFit="1" customWidth="1"/>
    <col min="12312" max="12312" width="9.81640625" style="172" bestFit="1" customWidth="1"/>
    <col min="12313" max="12544" width="9.1796875" style="172"/>
    <col min="12545" max="12545" width="10.26953125" style="172" customWidth="1"/>
    <col min="12546" max="12546" width="34.26953125" style="172" customWidth="1"/>
    <col min="12547" max="12547" width="16.453125" style="172" customWidth="1"/>
    <col min="12548" max="12548" width="6.7265625" style="172" customWidth="1"/>
    <col min="12549" max="12549" width="14.54296875" style="172" customWidth="1"/>
    <col min="12550" max="12550" width="8" style="172" customWidth="1"/>
    <col min="12551" max="12551" width="15.453125" style="172" customWidth="1"/>
    <col min="12552" max="12552" width="23.7265625" style="172" bestFit="1" customWidth="1"/>
    <col min="12553" max="12553" width="29.1796875" style="172" bestFit="1" customWidth="1"/>
    <col min="12554" max="12554" width="22.81640625" style="172" customWidth="1"/>
    <col min="12555" max="12555" width="15.54296875" style="172" customWidth="1"/>
    <col min="12556" max="12556" width="2" style="172" customWidth="1"/>
    <col min="12557" max="12557" width="7.26953125" style="172" customWidth="1"/>
    <col min="12558" max="12558" width="1.54296875" style="172" customWidth="1"/>
    <col min="12559" max="12559" width="1" style="172" customWidth="1"/>
    <col min="12560" max="12560" width="16.453125" style="172" customWidth="1"/>
    <col min="12561" max="12561" width="1.453125" style="172" customWidth="1"/>
    <col min="12562" max="12562" width="2.453125" style="172" customWidth="1"/>
    <col min="12563" max="12563" width="13" style="172" customWidth="1"/>
    <col min="12564" max="12564" width="3.1796875" style="172" customWidth="1"/>
    <col min="12565" max="12565" width="21.453125" style="172" customWidth="1"/>
    <col min="12566" max="12566" width="9.1796875" style="172"/>
    <col min="12567" max="12567" width="10" style="172" bestFit="1" customWidth="1"/>
    <col min="12568" max="12568" width="9.81640625" style="172" bestFit="1" customWidth="1"/>
    <col min="12569" max="12800" width="9.1796875" style="172"/>
    <col min="12801" max="12801" width="10.26953125" style="172" customWidth="1"/>
    <col min="12802" max="12802" width="34.26953125" style="172" customWidth="1"/>
    <col min="12803" max="12803" width="16.453125" style="172" customWidth="1"/>
    <col min="12804" max="12804" width="6.7265625" style="172" customWidth="1"/>
    <col min="12805" max="12805" width="14.54296875" style="172" customWidth="1"/>
    <col min="12806" max="12806" width="8" style="172" customWidth="1"/>
    <col min="12807" max="12807" width="15.453125" style="172" customWidth="1"/>
    <col min="12808" max="12808" width="23.7265625" style="172" bestFit="1" customWidth="1"/>
    <col min="12809" max="12809" width="29.1796875" style="172" bestFit="1" customWidth="1"/>
    <col min="12810" max="12810" width="22.81640625" style="172" customWidth="1"/>
    <col min="12811" max="12811" width="15.54296875" style="172" customWidth="1"/>
    <col min="12812" max="12812" width="2" style="172" customWidth="1"/>
    <col min="12813" max="12813" width="7.26953125" style="172" customWidth="1"/>
    <col min="12814" max="12814" width="1.54296875" style="172" customWidth="1"/>
    <col min="12815" max="12815" width="1" style="172" customWidth="1"/>
    <col min="12816" max="12816" width="16.453125" style="172" customWidth="1"/>
    <col min="12817" max="12817" width="1.453125" style="172" customWidth="1"/>
    <col min="12818" max="12818" width="2.453125" style="172" customWidth="1"/>
    <col min="12819" max="12819" width="13" style="172" customWidth="1"/>
    <col min="12820" max="12820" width="3.1796875" style="172" customWidth="1"/>
    <col min="12821" max="12821" width="21.453125" style="172" customWidth="1"/>
    <col min="12822" max="12822" width="9.1796875" style="172"/>
    <col min="12823" max="12823" width="10" style="172" bestFit="1" customWidth="1"/>
    <col min="12824" max="12824" width="9.81640625" style="172" bestFit="1" customWidth="1"/>
    <col min="12825" max="13056" width="9.1796875" style="172"/>
    <col min="13057" max="13057" width="10.26953125" style="172" customWidth="1"/>
    <col min="13058" max="13058" width="34.26953125" style="172" customWidth="1"/>
    <col min="13059" max="13059" width="16.453125" style="172" customWidth="1"/>
    <col min="13060" max="13060" width="6.7265625" style="172" customWidth="1"/>
    <col min="13061" max="13061" width="14.54296875" style="172" customWidth="1"/>
    <col min="13062" max="13062" width="8" style="172" customWidth="1"/>
    <col min="13063" max="13063" width="15.453125" style="172" customWidth="1"/>
    <col min="13064" max="13064" width="23.7265625" style="172" bestFit="1" customWidth="1"/>
    <col min="13065" max="13065" width="29.1796875" style="172" bestFit="1" customWidth="1"/>
    <col min="13066" max="13066" width="22.81640625" style="172" customWidth="1"/>
    <col min="13067" max="13067" width="15.54296875" style="172" customWidth="1"/>
    <col min="13068" max="13068" width="2" style="172" customWidth="1"/>
    <col min="13069" max="13069" width="7.26953125" style="172" customWidth="1"/>
    <col min="13070" max="13070" width="1.54296875" style="172" customWidth="1"/>
    <col min="13071" max="13071" width="1" style="172" customWidth="1"/>
    <col min="13072" max="13072" width="16.453125" style="172" customWidth="1"/>
    <col min="13073" max="13073" width="1.453125" style="172" customWidth="1"/>
    <col min="13074" max="13074" width="2.453125" style="172" customWidth="1"/>
    <col min="13075" max="13075" width="13" style="172" customWidth="1"/>
    <col min="13076" max="13076" width="3.1796875" style="172" customWidth="1"/>
    <col min="13077" max="13077" width="21.453125" style="172" customWidth="1"/>
    <col min="13078" max="13078" width="9.1796875" style="172"/>
    <col min="13079" max="13079" width="10" style="172" bestFit="1" customWidth="1"/>
    <col min="13080" max="13080" width="9.81640625" style="172" bestFit="1" customWidth="1"/>
    <col min="13081" max="13312" width="9.1796875" style="172"/>
    <col min="13313" max="13313" width="10.26953125" style="172" customWidth="1"/>
    <col min="13314" max="13314" width="34.26953125" style="172" customWidth="1"/>
    <col min="13315" max="13315" width="16.453125" style="172" customWidth="1"/>
    <col min="13316" max="13316" width="6.7265625" style="172" customWidth="1"/>
    <col min="13317" max="13317" width="14.54296875" style="172" customWidth="1"/>
    <col min="13318" max="13318" width="8" style="172" customWidth="1"/>
    <col min="13319" max="13319" width="15.453125" style="172" customWidth="1"/>
    <col min="13320" max="13320" width="23.7265625" style="172" bestFit="1" customWidth="1"/>
    <col min="13321" max="13321" width="29.1796875" style="172" bestFit="1" customWidth="1"/>
    <col min="13322" max="13322" width="22.81640625" style="172" customWidth="1"/>
    <col min="13323" max="13323" width="15.54296875" style="172" customWidth="1"/>
    <col min="13324" max="13324" width="2" style="172" customWidth="1"/>
    <col min="13325" max="13325" width="7.26953125" style="172" customWidth="1"/>
    <col min="13326" max="13326" width="1.54296875" style="172" customWidth="1"/>
    <col min="13327" max="13327" width="1" style="172" customWidth="1"/>
    <col min="13328" max="13328" width="16.453125" style="172" customWidth="1"/>
    <col min="13329" max="13329" width="1.453125" style="172" customWidth="1"/>
    <col min="13330" max="13330" width="2.453125" style="172" customWidth="1"/>
    <col min="13331" max="13331" width="13" style="172" customWidth="1"/>
    <col min="13332" max="13332" width="3.1796875" style="172" customWidth="1"/>
    <col min="13333" max="13333" width="21.453125" style="172" customWidth="1"/>
    <col min="13334" max="13334" width="9.1796875" style="172"/>
    <col min="13335" max="13335" width="10" style="172" bestFit="1" customWidth="1"/>
    <col min="13336" max="13336" width="9.81640625" style="172" bestFit="1" customWidth="1"/>
    <col min="13337" max="13568" width="9.1796875" style="172"/>
    <col min="13569" max="13569" width="10.26953125" style="172" customWidth="1"/>
    <col min="13570" max="13570" width="34.26953125" style="172" customWidth="1"/>
    <col min="13571" max="13571" width="16.453125" style="172" customWidth="1"/>
    <col min="13572" max="13572" width="6.7265625" style="172" customWidth="1"/>
    <col min="13573" max="13573" width="14.54296875" style="172" customWidth="1"/>
    <col min="13574" max="13574" width="8" style="172" customWidth="1"/>
    <col min="13575" max="13575" width="15.453125" style="172" customWidth="1"/>
    <col min="13576" max="13576" width="23.7265625" style="172" bestFit="1" customWidth="1"/>
    <col min="13577" max="13577" width="29.1796875" style="172" bestFit="1" customWidth="1"/>
    <col min="13578" max="13578" width="22.81640625" style="172" customWidth="1"/>
    <col min="13579" max="13579" width="15.54296875" style="172" customWidth="1"/>
    <col min="13580" max="13580" width="2" style="172" customWidth="1"/>
    <col min="13581" max="13581" width="7.26953125" style="172" customWidth="1"/>
    <col min="13582" max="13582" width="1.54296875" style="172" customWidth="1"/>
    <col min="13583" max="13583" width="1" style="172" customWidth="1"/>
    <col min="13584" max="13584" width="16.453125" style="172" customWidth="1"/>
    <col min="13585" max="13585" width="1.453125" style="172" customWidth="1"/>
    <col min="13586" max="13586" width="2.453125" style="172" customWidth="1"/>
    <col min="13587" max="13587" width="13" style="172" customWidth="1"/>
    <col min="13588" max="13588" width="3.1796875" style="172" customWidth="1"/>
    <col min="13589" max="13589" width="21.453125" style="172" customWidth="1"/>
    <col min="13590" max="13590" width="9.1796875" style="172"/>
    <col min="13591" max="13591" width="10" style="172" bestFit="1" customWidth="1"/>
    <col min="13592" max="13592" width="9.81640625" style="172" bestFit="1" customWidth="1"/>
    <col min="13593" max="13824" width="9.1796875" style="172"/>
    <col min="13825" max="13825" width="10.26953125" style="172" customWidth="1"/>
    <col min="13826" max="13826" width="34.26953125" style="172" customWidth="1"/>
    <col min="13827" max="13827" width="16.453125" style="172" customWidth="1"/>
    <col min="13828" max="13828" width="6.7265625" style="172" customWidth="1"/>
    <col min="13829" max="13829" width="14.54296875" style="172" customWidth="1"/>
    <col min="13830" max="13830" width="8" style="172" customWidth="1"/>
    <col min="13831" max="13831" width="15.453125" style="172" customWidth="1"/>
    <col min="13832" max="13832" width="23.7265625" style="172" bestFit="1" customWidth="1"/>
    <col min="13833" max="13833" width="29.1796875" style="172" bestFit="1" customWidth="1"/>
    <col min="13834" max="13834" width="22.81640625" style="172" customWidth="1"/>
    <col min="13835" max="13835" width="15.54296875" style="172" customWidth="1"/>
    <col min="13836" max="13836" width="2" style="172" customWidth="1"/>
    <col min="13837" max="13837" width="7.26953125" style="172" customWidth="1"/>
    <col min="13838" max="13838" width="1.54296875" style="172" customWidth="1"/>
    <col min="13839" max="13839" width="1" style="172" customWidth="1"/>
    <col min="13840" max="13840" width="16.453125" style="172" customWidth="1"/>
    <col min="13841" max="13841" width="1.453125" style="172" customWidth="1"/>
    <col min="13842" max="13842" width="2.453125" style="172" customWidth="1"/>
    <col min="13843" max="13843" width="13" style="172" customWidth="1"/>
    <col min="13844" max="13844" width="3.1796875" style="172" customWidth="1"/>
    <col min="13845" max="13845" width="21.453125" style="172" customWidth="1"/>
    <col min="13846" max="13846" width="9.1796875" style="172"/>
    <col min="13847" max="13847" width="10" style="172" bestFit="1" customWidth="1"/>
    <col min="13848" max="13848" width="9.81640625" style="172" bestFit="1" customWidth="1"/>
    <col min="13849" max="14080" width="9.1796875" style="172"/>
    <col min="14081" max="14081" width="10.26953125" style="172" customWidth="1"/>
    <col min="14082" max="14082" width="34.26953125" style="172" customWidth="1"/>
    <col min="14083" max="14083" width="16.453125" style="172" customWidth="1"/>
    <col min="14084" max="14084" width="6.7265625" style="172" customWidth="1"/>
    <col min="14085" max="14085" width="14.54296875" style="172" customWidth="1"/>
    <col min="14086" max="14086" width="8" style="172" customWidth="1"/>
    <col min="14087" max="14087" width="15.453125" style="172" customWidth="1"/>
    <col min="14088" max="14088" width="23.7265625" style="172" bestFit="1" customWidth="1"/>
    <col min="14089" max="14089" width="29.1796875" style="172" bestFit="1" customWidth="1"/>
    <col min="14090" max="14090" width="22.81640625" style="172" customWidth="1"/>
    <col min="14091" max="14091" width="15.54296875" style="172" customWidth="1"/>
    <col min="14092" max="14092" width="2" style="172" customWidth="1"/>
    <col min="14093" max="14093" width="7.26953125" style="172" customWidth="1"/>
    <col min="14094" max="14094" width="1.54296875" style="172" customWidth="1"/>
    <col min="14095" max="14095" width="1" style="172" customWidth="1"/>
    <col min="14096" max="14096" width="16.453125" style="172" customWidth="1"/>
    <col min="14097" max="14097" width="1.453125" style="172" customWidth="1"/>
    <col min="14098" max="14098" width="2.453125" style="172" customWidth="1"/>
    <col min="14099" max="14099" width="13" style="172" customWidth="1"/>
    <col min="14100" max="14100" width="3.1796875" style="172" customWidth="1"/>
    <col min="14101" max="14101" width="21.453125" style="172" customWidth="1"/>
    <col min="14102" max="14102" width="9.1796875" style="172"/>
    <col min="14103" max="14103" width="10" style="172" bestFit="1" customWidth="1"/>
    <col min="14104" max="14104" width="9.81640625" style="172" bestFit="1" customWidth="1"/>
    <col min="14105" max="14336" width="9.1796875" style="172"/>
    <col min="14337" max="14337" width="10.26953125" style="172" customWidth="1"/>
    <col min="14338" max="14338" width="34.26953125" style="172" customWidth="1"/>
    <col min="14339" max="14339" width="16.453125" style="172" customWidth="1"/>
    <col min="14340" max="14340" width="6.7265625" style="172" customWidth="1"/>
    <col min="14341" max="14341" width="14.54296875" style="172" customWidth="1"/>
    <col min="14342" max="14342" width="8" style="172" customWidth="1"/>
    <col min="14343" max="14343" width="15.453125" style="172" customWidth="1"/>
    <col min="14344" max="14344" width="23.7265625" style="172" bestFit="1" customWidth="1"/>
    <col min="14345" max="14345" width="29.1796875" style="172" bestFit="1" customWidth="1"/>
    <col min="14346" max="14346" width="22.81640625" style="172" customWidth="1"/>
    <col min="14347" max="14347" width="15.54296875" style="172" customWidth="1"/>
    <col min="14348" max="14348" width="2" style="172" customWidth="1"/>
    <col min="14349" max="14349" width="7.26953125" style="172" customWidth="1"/>
    <col min="14350" max="14350" width="1.54296875" style="172" customWidth="1"/>
    <col min="14351" max="14351" width="1" style="172" customWidth="1"/>
    <col min="14352" max="14352" width="16.453125" style="172" customWidth="1"/>
    <col min="14353" max="14353" width="1.453125" style="172" customWidth="1"/>
    <col min="14354" max="14354" width="2.453125" style="172" customWidth="1"/>
    <col min="14355" max="14355" width="13" style="172" customWidth="1"/>
    <col min="14356" max="14356" width="3.1796875" style="172" customWidth="1"/>
    <col min="14357" max="14357" width="21.453125" style="172" customWidth="1"/>
    <col min="14358" max="14358" width="9.1796875" style="172"/>
    <col min="14359" max="14359" width="10" style="172" bestFit="1" customWidth="1"/>
    <col min="14360" max="14360" width="9.81640625" style="172" bestFit="1" customWidth="1"/>
    <col min="14361" max="14592" width="9.1796875" style="172"/>
    <col min="14593" max="14593" width="10.26953125" style="172" customWidth="1"/>
    <col min="14594" max="14594" width="34.26953125" style="172" customWidth="1"/>
    <col min="14595" max="14595" width="16.453125" style="172" customWidth="1"/>
    <col min="14596" max="14596" width="6.7265625" style="172" customWidth="1"/>
    <col min="14597" max="14597" width="14.54296875" style="172" customWidth="1"/>
    <col min="14598" max="14598" width="8" style="172" customWidth="1"/>
    <col min="14599" max="14599" width="15.453125" style="172" customWidth="1"/>
    <col min="14600" max="14600" width="23.7265625" style="172" bestFit="1" customWidth="1"/>
    <col min="14601" max="14601" width="29.1796875" style="172" bestFit="1" customWidth="1"/>
    <col min="14602" max="14602" width="22.81640625" style="172" customWidth="1"/>
    <col min="14603" max="14603" width="15.54296875" style="172" customWidth="1"/>
    <col min="14604" max="14604" width="2" style="172" customWidth="1"/>
    <col min="14605" max="14605" width="7.26953125" style="172" customWidth="1"/>
    <col min="14606" max="14606" width="1.54296875" style="172" customWidth="1"/>
    <col min="14607" max="14607" width="1" style="172" customWidth="1"/>
    <col min="14608" max="14608" width="16.453125" style="172" customWidth="1"/>
    <col min="14609" max="14609" width="1.453125" style="172" customWidth="1"/>
    <col min="14610" max="14610" width="2.453125" style="172" customWidth="1"/>
    <col min="14611" max="14611" width="13" style="172" customWidth="1"/>
    <col min="14612" max="14612" width="3.1796875" style="172" customWidth="1"/>
    <col min="14613" max="14613" width="21.453125" style="172" customWidth="1"/>
    <col min="14614" max="14614" width="9.1796875" style="172"/>
    <col min="14615" max="14615" width="10" style="172" bestFit="1" customWidth="1"/>
    <col min="14616" max="14616" width="9.81640625" style="172" bestFit="1" customWidth="1"/>
    <col min="14617" max="14848" width="9.1796875" style="172"/>
    <col min="14849" max="14849" width="10.26953125" style="172" customWidth="1"/>
    <col min="14850" max="14850" width="34.26953125" style="172" customWidth="1"/>
    <col min="14851" max="14851" width="16.453125" style="172" customWidth="1"/>
    <col min="14852" max="14852" width="6.7265625" style="172" customWidth="1"/>
    <col min="14853" max="14853" width="14.54296875" style="172" customWidth="1"/>
    <col min="14854" max="14854" width="8" style="172" customWidth="1"/>
    <col min="14855" max="14855" width="15.453125" style="172" customWidth="1"/>
    <col min="14856" max="14856" width="23.7265625" style="172" bestFit="1" customWidth="1"/>
    <col min="14857" max="14857" width="29.1796875" style="172" bestFit="1" customWidth="1"/>
    <col min="14858" max="14858" width="22.81640625" style="172" customWidth="1"/>
    <col min="14859" max="14859" width="15.54296875" style="172" customWidth="1"/>
    <col min="14860" max="14860" width="2" style="172" customWidth="1"/>
    <col min="14861" max="14861" width="7.26953125" style="172" customWidth="1"/>
    <col min="14862" max="14862" width="1.54296875" style="172" customWidth="1"/>
    <col min="14863" max="14863" width="1" style="172" customWidth="1"/>
    <col min="14864" max="14864" width="16.453125" style="172" customWidth="1"/>
    <col min="14865" max="14865" width="1.453125" style="172" customWidth="1"/>
    <col min="14866" max="14866" width="2.453125" style="172" customWidth="1"/>
    <col min="14867" max="14867" width="13" style="172" customWidth="1"/>
    <col min="14868" max="14868" width="3.1796875" style="172" customWidth="1"/>
    <col min="14869" max="14869" width="21.453125" style="172" customWidth="1"/>
    <col min="14870" max="14870" width="9.1796875" style="172"/>
    <col min="14871" max="14871" width="10" style="172" bestFit="1" customWidth="1"/>
    <col min="14872" max="14872" width="9.81640625" style="172" bestFit="1" customWidth="1"/>
    <col min="14873" max="15104" width="9.1796875" style="172"/>
    <col min="15105" max="15105" width="10.26953125" style="172" customWidth="1"/>
    <col min="15106" max="15106" width="34.26953125" style="172" customWidth="1"/>
    <col min="15107" max="15107" width="16.453125" style="172" customWidth="1"/>
    <col min="15108" max="15108" width="6.7265625" style="172" customWidth="1"/>
    <col min="15109" max="15109" width="14.54296875" style="172" customWidth="1"/>
    <col min="15110" max="15110" width="8" style="172" customWidth="1"/>
    <col min="15111" max="15111" width="15.453125" style="172" customWidth="1"/>
    <col min="15112" max="15112" width="23.7265625" style="172" bestFit="1" customWidth="1"/>
    <col min="15113" max="15113" width="29.1796875" style="172" bestFit="1" customWidth="1"/>
    <col min="15114" max="15114" width="22.81640625" style="172" customWidth="1"/>
    <col min="15115" max="15115" width="15.54296875" style="172" customWidth="1"/>
    <col min="15116" max="15116" width="2" style="172" customWidth="1"/>
    <col min="15117" max="15117" width="7.26953125" style="172" customWidth="1"/>
    <col min="15118" max="15118" width="1.54296875" style="172" customWidth="1"/>
    <col min="15119" max="15119" width="1" style="172" customWidth="1"/>
    <col min="15120" max="15120" width="16.453125" style="172" customWidth="1"/>
    <col min="15121" max="15121" width="1.453125" style="172" customWidth="1"/>
    <col min="15122" max="15122" width="2.453125" style="172" customWidth="1"/>
    <col min="15123" max="15123" width="13" style="172" customWidth="1"/>
    <col min="15124" max="15124" width="3.1796875" style="172" customWidth="1"/>
    <col min="15125" max="15125" width="21.453125" style="172" customWidth="1"/>
    <col min="15126" max="15126" width="9.1796875" style="172"/>
    <col min="15127" max="15127" width="10" style="172" bestFit="1" customWidth="1"/>
    <col min="15128" max="15128" width="9.81640625" style="172" bestFit="1" customWidth="1"/>
    <col min="15129" max="15360" width="9.1796875" style="172"/>
    <col min="15361" max="15361" width="10.26953125" style="172" customWidth="1"/>
    <col min="15362" max="15362" width="34.26953125" style="172" customWidth="1"/>
    <col min="15363" max="15363" width="16.453125" style="172" customWidth="1"/>
    <col min="15364" max="15364" width="6.7265625" style="172" customWidth="1"/>
    <col min="15365" max="15365" width="14.54296875" style="172" customWidth="1"/>
    <col min="15366" max="15366" width="8" style="172" customWidth="1"/>
    <col min="15367" max="15367" width="15.453125" style="172" customWidth="1"/>
    <col min="15368" max="15368" width="23.7265625" style="172" bestFit="1" customWidth="1"/>
    <col min="15369" max="15369" width="29.1796875" style="172" bestFit="1" customWidth="1"/>
    <col min="15370" max="15370" width="22.81640625" style="172" customWidth="1"/>
    <col min="15371" max="15371" width="15.54296875" style="172" customWidth="1"/>
    <col min="15372" max="15372" width="2" style="172" customWidth="1"/>
    <col min="15373" max="15373" width="7.26953125" style="172" customWidth="1"/>
    <col min="15374" max="15374" width="1.54296875" style="172" customWidth="1"/>
    <col min="15375" max="15375" width="1" style="172" customWidth="1"/>
    <col min="15376" max="15376" width="16.453125" style="172" customWidth="1"/>
    <col min="15377" max="15377" width="1.453125" style="172" customWidth="1"/>
    <col min="15378" max="15378" width="2.453125" style="172" customWidth="1"/>
    <col min="15379" max="15379" width="13" style="172" customWidth="1"/>
    <col min="15380" max="15380" width="3.1796875" style="172" customWidth="1"/>
    <col min="15381" max="15381" width="21.453125" style="172" customWidth="1"/>
    <col min="15382" max="15382" width="9.1796875" style="172"/>
    <col min="15383" max="15383" width="10" style="172" bestFit="1" customWidth="1"/>
    <col min="15384" max="15384" width="9.81640625" style="172" bestFit="1" customWidth="1"/>
    <col min="15385" max="15616" width="9.1796875" style="172"/>
    <col min="15617" max="15617" width="10.26953125" style="172" customWidth="1"/>
    <col min="15618" max="15618" width="34.26953125" style="172" customWidth="1"/>
    <col min="15619" max="15619" width="16.453125" style="172" customWidth="1"/>
    <col min="15620" max="15620" width="6.7265625" style="172" customWidth="1"/>
    <col min="15621" max="15621" width="14.54296875" style="172" customWidth="1"/>
    <col min="15622" max="15622" width="8" style="172" customWidth="1"/>
    <col min="15623" max="15623" width="15.453125" style="172" customWidth="1"/>
    <col min="15624" max="15624" width="23.7265625" style="172" bestFit="1" customWidth="1"/>
    <col min="15625" max="15625" width="29.1796875" style="172" bestFit="1" customWidth="1"/>
    <col min="15626" max="15626" width="22.81640625" style="172" customWidth="1"/>
    <col min="15627" max="15627" width="15.54296875" style="172" customWidth="1"/>
    <col min="15628" max="15628" width="2" style="172" customWidth="1"/>
    <col min="15629" max="15629" width="7.26953125" style="172" customWidth="1"/>
    <col min="15630" max="15630" width="1.54296875" style="172" customWidth="1"/>
    <col min="15631" max="15631" width="1" style="172" customWidth="1"/>
    <col min="15632" max="15632" width="16.453125" style="172" customWidth="1"/>
    <col min="15633" max="15633" width="1.453125" style="172" customWidth="1"/>
    <col min="15634" max="15634" width="2.453125" style="172" customWidth="1"/>
    <col min="15635" max="15635" width="13" style="172" customWidth="1"/>
    <col min="15636" max="15636" width="3.1796875" style="172" customWidth="1"/>
    <col min="15637" max="15637" width="21.453125" style="172" customWidth="1"/>
    <col min="15638" max="15638" width="9.1796875" style="172"/>
    <col min="15639" max="15639" width="10" style="172" bestFit="1" customWidth="1"/>
    <col min="15640" max="15640" width="9.81640625" style="172" bestFit="1" customWidth="1"/>
    <col min="15641" max="15872" width="9.1796875" style="172"/>
    <col min="15873" max="15873" width="10.26953125" style="172" customWidth="1"/>
    <col min="15874" max="15874" width="34.26953125" style="172" customWidth="1"/>
    <col min="15875" max="15875" width="16.453125" style="172" customWidth="1"/>
    <col min="15876" max="15876" width="6.7265625" style="172" customWidth="1"/>
    <col min="15877" max="15877" width="14.54296875" style="172" customWidth="1"/>
    <col min="15878" max="15878" width="8" style="172" customWidth="1"/>
    <col min="15879" max="15879" width="15.453125" style="172" customWidth="1"/>
    <col min="15880" max="15880" width="23.7265625" style="172" bestFit="1" customWidth="1"/>
    <col min="15881" max="15881" width="29.1796875" style="172" bestFit="1" customWidth="1"/>
    <col min="15882" max="15882" width="22.81640625" style="172" customWidth="1"/>
    <col min="15883" max="15883" width="15.54296875" style="172" customWidth="1"/>
    <col min="15884" max="15884" width="2" style="172" customWidth="1"/>
    <col min="15885" max="15885" width="7.26953125" style="172" customWidth="1"/>
    <col min="15886" max="15886" width="1.54296875" style="172" customWidth="1"/>
    <col min="15887" max="15887" width="1" style="172" customWidth="1"/>
    <col min="15888" max="15888" width="16.453125" style="172" customWidth="1"/>
    <col min="15889" max="15889" width="1.453125" style="172" customWidth="1"/>
    <col min="15890" max="15890" width="2.453125" style="172" customWidth="1"/>
    <col min="15891" max="15891" width="13" style="172" customWidth="1"/>
    <col min="15892" max="15892" width="3.1796875" style="172" customWidth="1"/>
    <col min="15893" max="15893" width="21.453125" style="172" customWidth="1"/>
    <col min="15894" max="15894" width="9.1796875" style="172"/>
    <col min="15895" max="15895" width="10" style="172" bestFit="1" customWidth="1"/>
    <col min="15896" max="15896" width="9.81640625" style="172" bestFit="1" customWidth="1"/>
    <col min="15897" max="16128" width="9.1796875" style="172"/>
    <col min="16129" max="16129" width="10.26953125" style="172" customWidth="1"/>
    <col min="16130" max="16130" width="34.26953125" style="172" customWidth="1"/>
    <col min="16131" max="16131" width="16.453125" style="172" customWidth="1"/>
    <col min="16132" max="16132" width="6.7265625" style="172" customWidth="1"/>
    <col min="16133" max="16133" width="14.54296875" style="172" customWidth="1"/>
    <col min="16134" max="16134" width="8" style="172" customWidth="1"/>
    <col min="16135" max="16135" width="15.453125" style="172" customWidth="1"/>
    <col min="16136" max="16136" width="23.7265625" style="172" bestFit="1" customWidth="1"/>
    <col min="16137" max="16137" width="29.1796875" style="172" bestFit="1" customWidth="1"/>
    <col min="16138" max="16138" width="22.81640625" style="172" customWidth="1"/>
    <col min="16139" max="16139" width="15.54296875" style="172" customWidth="1"/>
    <col min="16140" max="16140" width="2" style="172" customWidth="1"/>
    <col min="16141" max="16141" width="7.26953125" style="172" customWidth="1"/>
    <col min="16142" max="16142" width="1.54296875" style="172" customWidth="1"/>
    <col min="16143" max="16143" width="1" style="172" customWidth="1"/>
    <col min="16144" max="16144" width="16.453125" style="172" customWidth="1"/>
    <col min="16145" max="16145" width="1.453125" style="172" customWidth="1"/>
    <col min="16146" max="16146" width="2.453125" style="172" customWidth="1"/>
    <col min="16147" max="16147" width="13" style="172" customWidth="1"/>
    <col min="16148" max="16148" width="3.1796875" style="172" customWidth="1"/>
    <col min="16149" max="16149" width="21.453125" style="172" customWidth="1"/>
    <col min="16150" max="16150" width="9.1796875" style="172"/>
    <col min="16151" max="16151" width="10" style="172" bestFit="1" customWidth="1"/>
    <col min="16152" max="16152" width="9.81640625" style="172" bestFit="1" customWidth="1"/>
    <col min="16153" max="16384" width="9.1796875" style="172"/>
  </cols>
  <sheetData>
    <row r="1" spans="1:22" ht="15.5" thickBot="1" x14ac:dyDescent="0.35">
      <c r="A1" s="171"/>
      <c r="B1" s="399"/>
      <c r="C1" s="400"/>
      <c r="D1" s="400"/>
      <c r="E1" s="400"/>
      <c r="F1" s="400"/>
      <c r="G1" s="400"/>
      <c r="H1" s="400"/>
      <c r="J1" s="173"/>
      <c r="K1" s="172"/>
      <c r="O1" s="174"/>
      <c r="Q1" s="172"/>
      <c r="T1" s="175"/>
      <c r="U1" s="172"/>
    </row>
    <row r="2" spans="1:22" ht="42" customHeight="1" x14ac:dyDescent="0.4">
      <c r="A2" s="176" t="s">
        <v>293</v>
      </c>
      <c r="B2" s="232"/>
      <c r="C2" s="267">
        <v>5060</v>
      </c>
      <c r="D2" s="82" t="str">
        <f>VLOOKUP(C2,'Charter Schools'!A5:C262,3,FALSE)</f>
        <v xml:space="preserve">SunFire High School 
 </v>
      </c>
      <c r="E2" s="82"/>
      <c r="F2" s="81"/>
      <c r="G2" s="81"/>
      <c r="H2" s="80"/>
      <c r="I2" s="24"/>
      <c r="J2" s="26" t="s">
        <v>244</v>
      </c>
      <c r="K2" s="83"/>
      <c r="L2" s="23"/>
      <c r="M2" s="23"/>
      <c r="N2" s="23"/>
      <c r="O2" s="23"/>
      <c r="P2" s="176"/>
      <c r="Q2" s="176"/>
      <c r="R2" s="176"/>
      <c r="S2" s="176"/>
      <c r="T2" s="176"/>
      <c r="U2" s="176"/>
    </row>
    <row r="3" spans="1:22" ht="25.5" customHeight="1" x14ac:dyDescent="0.35">
      <c r="A3" s="349" t="s">
        <v>415</v>
      </c>
      <c r="B3" s="349"/>
      <c r="C3" s="349"/>
      <c r="D3" s="349"/>
      <c r="E3" s="349"/>
      <c r="F3" s="349"/>
      <c r="G3" s="349"/>
      <c r="H3" s="349"/>
      <c r="I3" s="177"/>
      <c r="J3" s="177"/>
      <c r="K3" s="177"/>
      <c r="L3" s="177"/>
      <c r="M3" s="177"/>
      <c r="N3" s="177"/>
      <c r="O3" s="177"/>
      <c r="P3" s="177"/>
      <c r="Q3" s="177"/>
      <c r="R3" s="177"/>
      <c r="S3" s="177"/>
      <c r="T3" s="177"/>
      <c r="U3" s="177"/>
    </row>
    <row r="4" spans="1:22" ht="18.75" customHeight="1" x14ac:dyDescent="0.3">
      <c r="A4" s="401" t="s">
        <v>0</v>
      </c>
      <c r="B4" s="401"/>
      <c r="C4" s="402" t="s">
        <v>455</v>
      </c>
      <c r="D4" s="402"/>
      <c r="E4" s="178"/>
      <c r="F4" s="178"/>
      <c r="G4" s="178"/>
      <c r="H4" s="178"/>
      <c r="I4" s="174"/>
      <c r="J4" s="174"/>
      <c r="K4" s="174"/>
      <c r="L4" s="174"/>
      <c r="M4" s="174"/>
      <c r="N4" s="174"/>
      <c r="O4" s="174"/>
      <c r="P4" s="172"/>
      <c r="Q4" s="172"/>
      <c r="R4" s="175"/>
      <c r="U4" s="172"/>
    </row>
    <row r="5" spans="1:22" ht="21" customHeight="1" x14ac:dyDescent="0.3">
      <c r="A5" s="403" t="s">
        <v>416</v>
      </c>
      <c r="B5" s="403"/>
      <c r="C5" s="403"/>
      <c r="D5" s="403"/>
      <c r="E5" s="403"/>
      <c r="F5" s="403"/>
      <c r="G5" s="403"/>
      <c r="H5" s="403"/>
      <c r="I5" s="174"/>
      <c r="J5" s="174"/>
      <c r="K5" s="174"/>
      <c r="L5" s="174"/>
      <c r="M5" s="174"/>
      <c r="N5" s="174"/>
      <c r="O5" s="174"/>
      <c r="R5" s="174"/>
      <c r="S5" s="174"/>
      <c r="U5" s="358"/>
      <c r="V5" s="358"/>
    </row>
    <row r="6" spans="1:22" ht="18" customHeight="1" x14ac:dyDescent="0.35">
      <c r="A6" s="408" t="s">
        <v>8</v>
      </c>
      <c r="B6" s="408"/>
      <c r="C6" s="409">
        <v>5139.7299999999996</v>
      </c>
      <c r="D6" s="409"/>
      <c r="E6" s="410" t="s">
        <v>417</v>
      </c>
      <c r="F6" s="410"/>
      <c r="G6" s="411">
        <v>1.0232000000000001</v>
      </c>
      <c r="H6" s="411"/>
      <c r="K6" s="172"/>
      <c r="P6" s="172"/>
      <c r="Q6" s="172"/>
      <c r="U6" s="358"/>
      <c r="V6" s="358"/>
    </row>
    <row r="7" spans="1:22" ht="18" customHeight="1" x14ac:dyDescent="0.35">
      <c r="A7" s="179"/>
      <c r="B7" s="179"/>
      <c r="C7" s="319"/>
      <c r="D7" s="319"/>
      <c r="E7" s="320" t="s">
        <v>418</v>
      </c>
      <c r="F7" s="320"/>
      <c r="G7" s="321">
        <f>INDEX('[6]Detail 2023-24 FEFP Conference'!$D$1:$D$65536,MATCH('[6]All charter school calculator'!$A$1,'[6]Detail 2023-24 FEFP Conference'!$A$1:$A$65536,0))</f>
        <v>0</v>
      </c>
      <c r="K7" s="172"/>
      <c r="P7" s="172"/>
      <c r="Q7" s="172"/>
      <c r="U7" s="358"/>
      <c r="V7" s="358"/>
    </row>
    <row r="8" spans="1:22" ht="18" customHeight="1" x14ac:dyDescent="0.35">
      <c r="A8" s="179"/>
      <c r="B8" s="179"/>
      <c r="C8" s="319"/>
      <c r="D8" s="319"/>
      <c r="E8" s="320"/>
      <c r="F8" s="320"/>
      <c r="G8" s="321"/>
      <c r="H8" s="182" t="s">
        <v>419</v>
      </c>
      <c r="K8" s="172"/>
      <c r="P8" s="172"/>
      <c r="Q8" s="172"/>
      <c r="U8" s="339"/>
      <c r="V8" s="339"/>
    </row>
    <row r="9" spans="1:22" ht="15.75" customHeight="1" x14ac:dyDescent="0.35">
      <c r="A9" s="179"/>
      <c r="B9" s="179"/>
      <c r="C9" s="180"/>
      <c r="D9" s="180"/>
      <c r="E9" s="412" t="s">
        <v>1</v>
      </c>
      <c r="F9" s="412"/>
      <c r="G9" s="181" t="s">
        <v>62</v>
      </c>
      <c r="H9" s="182" t="s">
        <v>32</v>
      </c>
      <c r="K9" s="172"/>
      <c r="P9" s="172"/>
      <c r="Q9" s="172"/>
      <c r="U9" s="358"/>
      <c r="V9" s="358"/>
    </row>
    <row r="10" spans="1:22" ht="15.75" customHeight="1" x14ac:dyDescent="0.3">
      <c r="A10" s="386" t="s">
        <v>1</v>
      </c>
      <c r="B10" s="386"/>
      <c r="C10" s="413" t="s">
        <v>14</v>
      </c>
      <c r="D10" s="413"/>
      <c r="E10" s="414" t="s">
        <v>64</v>
      </c>
      <c r="F10" s="414"/>
      <c r="G10" s="183" t="s">
        <v>61</v>
      </c>
      <c r="H10" s="184" t="s">
        <v>63</v>
      </c>
      <c r="K10" s="172"/>
      <c r="P10" s="172"/>
      <c r="Q10" s="172"/>
      <c r="U10" s="358"/>
      <c r="V10" s="358"/>
    </row>
    <row r="11" spans="1:22" ht="14.25" customHeight="1" x14ac:dyDescent="0.3">
      <c r="A11" s="404" t="s">
        <v>40</v>
      </c>
      <c r="B11" s="404"/>
      <c r="C11" s="405" t="s">
        <v>41</v>
      </c>
      <c r="D11" s="405"/>
      <c r="E11" s="406" t="s">
        <v>42</v>
      </c>
      <c r="F11" s="406"/>
      <c r="G11" s="237" t="s">
        <v>43</v>
      </c>
      <c r="H11" s="238" t="s">
        <v>44</v>
      </c>
      <c r="J11" s="185"/>
      <c r="K11" s="172"/>
      <c r="P11" s="172"/>
      <c r="Q11" s="172"/>
      <c r="U11" s="358"/>
      <c r="V11" s="358"/>
    </row>
    <row r="12" spans="1:22" x14ac:dyDescent="0.3">
      <c r="A12" s="377" t="s">
        <v>16</v>
      </c>
      <c r="B12" s="377"/>
      <c r="C12" s="393">
        <f>HLOOKUP($C$2,'FY23 POFR FTE'!$E$11:$CR$37,6,FALSE)</f>
        <v>0</v>
      </c>
      <c r="D12" s="393"/>
      <c r="E12" s="394">
        <v>1.1220000000000001</v>
      </c>
      <c r="F12" s="395"/>
      <c r="G12" s="268">
        <f>ROUND(C12*E12,4)</f>
        <v>0</v>
      </c>
      <c r="H12" s="239">
        <f t="shared" ref="H12:H27" si="0">ROUND(ROUND(G12*$C$6,4)*($G$6),0)</f>
        <v>0</v>
      </c>
      <c r="J12" s="185"/>
      <c r="K12" s="172"/>
      <c r="P12" s="172"/>
      <c r="Q12" s="172"/>
      <c r="U12" s="358"/>
      <c r="V12" s="358"/>
    </row>
    <row r="13" spans="1:22" x14ac:dyDescent="0.3">
      <c r="A13" s="359" t="s">
        <v>17</v>
      </c>
      <c r="B13" s="359"/>
      <c r="C13" s="393">
        <f>HLOOKUP($C$2,'FY23 POFR FTE'!$E$11:$CR$37,9,FALSE)</f>
        <v>0</v>
      </c>
      <c r="D13" s="393"/>
      <c r="E13" s="394">
        <v>1.1220000000000001</v>
      </c>
      <c r="F13" s="395"/>
      <c r="G13" s="268">
        <f t="shared" ref="G13:G27" si="1">ROUND(C13*E13,4)</f>
        <v>0</v>
      </c>
      <c r="H13" s="239">
        <f t="shared" si="0"/>
        <v>0</v>
      </c>
      <c r="J13" s="185"/>
      <c r="K13" s="172"/>
      <c r="P13" s="172"/>
      <c r="Q13" s="172"/>
      <c r="U13" s="358"/>
      <c r="V13" s="358"/>
    </row>
    <row r="14" spans="1:22" x14ac:dyDescent="0.3">
      <c r="A14" s="359" t="s">
        <v>18</v>
      </c>
      <c r="B14" s="359"/>
      <c r="C14" s="393">
        <f>HLOOKUP($C$2,'FY23 POFR FTE'!$E$11:$CR$37,7,FALSE)</f>
        <v>0</v>
      </c>
      <c r="D14" s="393"/>
      <c r="E14" s="394">
        <v>1</v>
      </c>
      <c r="F14" s="395"/>
      <c r="G14" s="268">
        <f t="shared" si="1"/>
        <v>0</v>
      </c>
      <c r="H14" s="239">
        <f t="shared" si="0"/>
        <v>0</v>
      </c>
      <c r="J14" s="185"/>
      <c r="K14" s="172"/>
      <c r="P14" s="172"/>
      <c r="Q14" s="172"/>
      <c r="U14" s="358"/>
      <c r="V14" s="358"/>
    </row>
    <row r="15" spans="1:22" x14ac:dyDescent="0.3">
      <c r="A15" s="359" t="s">
        <v>19</v>
      </c>
      <c r="B15" s="359"/>
      <c r="C15" s="393">
        <f>HLOOKUP($C$2,'FY23 POFR FTE'!$E$11:$CR$37,10,FALSE)</f>
        <v>0</v>
      </c>
      <c r="D15" s="393"/>
      <c r="E15" s="394">
        <v>1</v>
      </c>
      <c r="F15" s="395"/>
      <c r="G15" s="268">
        <f t="shared" si="1"/>
        <v>0</v>
      </c>
      <c r="H15" s="239">
        <f t="shared" si="0"/>
        <v>0</v>
      </c>
      <c r="K15" s="172"/>
      <c r="Q15" s="172"/>
      <c r="U15" s="358"/>
      <c r="V15" s="358"/>
    </row>
    <row r="16" spans="1:22" x14ac:dyDescent="0.3">
      <c r="A16" s="359" t="s">
        <v>20</v>
      </c>
      <c r="B16" s="359"/>
      <c r="C16" s="393">
        <f>HLOOKUP($C$2,'FY23 POFR FTE'!$E$11:$CR$37,8,FALSE)</f>
        <v>255.9</v>
      </c>
      <c r="D16" s="393"/>
      <c r="E16" s="394">
        <v>0.98799999999999999</v>
      </c>
      <c r="F16" s="395"/>
      <c r="G16" s="268">
        <f t="shared" si="1"/>
        <v>252.82919999999999</v>
      </c>
      <c r="H16" s="239">
        <f t="shared" si="0"/>
        <v>1329622</v>
      </c>
      <c r="K16" s="172"/>
      <c r="P16" s="172"/>
      <c r="Q16" s="172"/>
      <c r="U16" s="358"/>
      <c r="V16" s="358"/>
    </row>
    <row r="17" spans="1:22" x14ac:dyDescent="0.3">
      <c r="A17" s="359" t="s">
        <v>21</v>
      </c>
      <c r="B17" s="359"/>
      <c r="C17" s="393">
        <f>HLOOKUP($C$2,'FY23 POFR FTE'!$E$11:$CR$37,11,FALSE)</f>
        <v>41.3</v>
      </c>
      <c r="D17" s="393"/>
      <c r="E17" s="394">
        <v>0.98799999999999999</v>
      </c>
      <c r="F17" s="395"/>
      <c r="G17" s="268">
        <f t="shared" si="1"/>
        <v>40.804400000000001</v>
      </c>
      <c r="H17" s="240">
        <f t="shared" si="0"/>
        <v>214589</v>
      </c>
      <c r="K17" s="172"/>
      <c r="P17" s="172"/>
      <c r="Q17" s="172"/>
      <c r="U17" s="358"/>
      <c r="V17" s="358"/>
    </row>
    <row r="18" spans="1:22" ht="15.5" x14ac:dyDescent="0.35">
      <c r="A18" s="359" t="s">
        <v>22</v>
      </c>
      <c r="B18" s="359"/>
      <c r="C18" s="393">
        <f>HLOOKUP($C$2,'FY23 POFR FTE'!$E$11:$CR$37,15,FALSE)</f>
        <v>0</v>
      </c>
      <c r="D18" s="393"/>
      <c r="E18" s="394">
        <v>3.706</v>
      </c>
      <c r="F18" s="395"/>
      <c r="G18" s="268">
        <f t="shared" si="1"/>
        <v>0</v>
      </c>
      <c r="H18" s="239">
        <f t="shared" si="0"/>
        <v>0</v>
      </c>
      <c r="K18" s="172"/>
      <c r="P18" s="172"/>
      <c r="Q18" s="172"/>
      <c r="U18" s="358"/>
      <c r="V18" s="358"/>
    </row>
    <row r="19" spans="1:22" ht="15.5" x14ac:dyDescent="0.35">
      <c r="A19" s="359" t="s">
        <v>23</v>
      </c>
      <c r="B19" s="359"/>
      <c r="C19" s="393">
        <f>HLOOKUP($C$2,'FY23 POFR FTE'!$E$11:$CR$37,16,FALSE)</f>
        <v>0</v>
      </c>
      <c r="D19" s="393"/>
      <c r="E19" s="394">
        <v>3.706</v>
      </c>
      <c r="F19" s="395"/>
      <c r="G19" s="268">
        <f t="shared" si="1"/>
        <v>0</v>
      </c>
      <c r="H19" s="239">
        <f t="shared" si="0"/>
        <v>0</v>
      </c>
      <c r="K19" s="172"/>
      <c r="P19" s="172"/>
      <c r="Q19" s="172"/>
      <c r="U19" s="358"/>
      <c r="V19" s="358"/>
    </row>
    <row r="20" spans="1:22" ht="15.5" x14ac:dyDescent="0.35">
      <c r="A20" s="359" t="s">
        <v>24</v>
      </c>
      <c r="B20" s="359"/>
      <c r="C20" s="393">
        <f>HLOOKUP($C$2,'FY23 POFR FTE'!$E$11:$CR$37,17,FALSE)</f>
        <v>0</v>
      </c>
      <c r="D20" s="393"/>
      <c r="E20" s="394">
        <v>3.706</v>
      </c>
      <c r="F20" s="395"/>
      <c r="G20" s="268">
        <f t="shared" si="1"/>
        <v>0</v>
      </c>
      <c r="H20" s="239">
        <f t="shared" si="0"/>
        <v>0</v>
      </c>
      <c r="K20" s="172"/>
      <c r="P20" s="172"/>
      <c r="Q20" s="172"/>
      <c r="U20" s="358"/>
      <c r="V20" s="358"/>
    </row>
    <row r="21" spans="1:22" ht="15" customHeight="1" x14ac:dyDescent="0.35">
      <c r="A21" s="359" t="s">
        <v>25</v>
      </c>
      <c r="B21" s="359"/>
      <c r="C21" s="393">
        <f>HLOOKUP($C$2,'FY23 POFR FTE'!$E$11:$CR$37,18,FALSE)</f>
        <v>0</v>
      </c>
      <c r="D21" s="393"/>
      <c r="E21" s="394">
        <v>5.7069999999999999</v>
      </c>
      <c r="F21" s="395"/>
      <c r="G21" s="268">
        <f t="shared" si="1"/>
        <v>0</v>
      </c>
      <c r="H21" s="239">
        <f t="shared" si="0"/>
        <v>0</v>
      </c>
      <c r="K21" s="172"/>
      <c r="P21" s="172"/>
      <c r="Q21" s="172"/>
      <c r="U21" s="358"/>
      <c r="V21" s="358"/>
    </row>
    <row r="22" spans="1:22" ht="15" customHeight="1" x14ac:dyDescent="0.35">
      <c r="A22" s="359" t="s">
        <v>26</v>
      </c>
      <c r="B22" s="359"/>
      <c r="C22" s="393">
        <f>HLOOKUP($C$2,'FY23 POFR FTE'!$E$11:$CR$37,19,FALSE)</f>
        <v>0</v>
      </c>
      <c r="D22" s="393"/>
      <c r="E22" s="394">
        <v>5.7069999999999999</v>
      </c>
      <c r="F22" s="395"/>
      <c r="G22" s="268">
        <f t="shared" si="1"/>
        <v>0</v>
      </c>
      <c r="H22" s="239">
        <f t="shared" si="0"/>
        <v>0</v>
      </c>
      <c r="K22" s="172"/>
      <c r="P22" s="172"/>
      <c r="Q22" s="172"/>
      <c r="U22" s="172"/>
    </row>
    <row r="23" spans="1:22" ht="15" customHeight="1" x14ac:dyDescent="0.35">
      <c r="A23" s="359" t="s">
        <v>27</v>
      </c>
      <c r="B23" s="359"/>
      <c r="C23" s="393">
        <f>HLOOKUP($C$2,'FY23 POFR FTE'!$E$11:$CR$37,20,FALSE)</f>
        <v>0</v>
      </c>
      <c r="D23" s="393"/>
      <c r="E23" s="394">
        <v>5.7069999999999999</v>
      </c>
      <c r="F23" s="395"/>
      <c r="G23" s="268">
        <f t="shared" si="1"/>
        <v>0</v>
      </c>
      <c r="H23" s="239">
        <f t="shared" si="0"/>
        <v>0</v>
      </c>
      <c r="K23" s="172"/>
      <c r="P23" s="172"/>
      <c r="Q23" s="172"/>
      <c r="U23" s="172"/>
    </row>
    <row r="24" spans="1:22" ht="15.5" x14ac:dyDescent="0.35">
      <c r="A24" s="359" t="s">
        <v>28</v>
      </c>
      <c r="B24" s="359"/>
      <c r="C24" s="393">
        <f>HLOOKUP($C$2,'FY23 POFR FTE'!$E$11:$CR$37,12,FALSE)</f>
        <v>0</v>
      </c>
      <c r="D24" s="393"/>
      <c r="E24" s="394">
        <v>1.208</v>
      </c>
      <c r="F24" s="395"/>
      <c r="G24" s="268">
        <f t="shared" si="1"/>
        <v>0</v>
      </c>
      <c r="H24" s="239">
        <f t="shared" si="0"/>
        <v>0</v>
      </c>
      <c r="K24" s="172"/>
      <c r="P24" s="172"/>
      <c r="Q24" s="172"/>
      <c r="U24" s="172"/>
    </row>
    <row r="25" spans="1:22" ht="15.5" x14ac:dyDescent="0.35">
      <c r="A25" s="359" t="s">
        <v>29</v>
      </c>
      <c r="B25" s="359"/>
      <c r="C25" s="393">
        <f>HLOOKUP($C$2,'FY23 POFR FTE'!$E$11:$CR$37,13,FALSE)</f>
        <v>0</v>
      </c>
      <c r="D25" s="393"/>
      <c r="E25" s="394">
        <v>1.208</v>
      </c>
      <c r="F25" s="395"/>
      <c r="G25" s="268">
        <f t="shared" si="1"/>
        <v>0</v>
      </c>
      <c r="H25" s="239">
        <f t="shared" si="0"/>
        <v>0</v>
      </c>
      <c r="K25" s="172"/>
      <c r="P25" s="172"/>
      <c r="Q25" s="172"/>
      <c r="U25" s="172"/>
    </row>
    <row r="26" spans="1:22" ht="15.5" x14ac:dyDescent="0.35">
      <c r="A26" s="359" t="s">
        <v>30</v>
      </c>
      <c r="B26" s="359"/>
      <c r="C26" s="393">
        <f>HLOOKUP($C$2,'FY23 POFR FTE'!$E$11:$CR$37,14,FALSE)</f>
        <v>9.18</v>
      </c>
      <c r="D26" s="393"/>
      <c r="E26" s="394">
        <v>1.208</v>
      </c>
      <c r="F26" s="395"/>
      <c r="G26" s="268">
        <f t="shared" si="1"/>
        <v>11.089399999999999</v>
      </c>
      <c r="H26" s="239">
        <f t="shared" si="0"/>
        <v>58319</v>
      </c>
      <c r="K26" s="172"/>
      <c r="P26" s="172"/>
      <c r="Q26" s="172"/>
      <c r="U26" s="172"/>
    </row>
    <row r="27" spans="1:22" ht="15.5" x14ac:dyDescent="0.35">
      <c r="A27" s="361" t="s">
        <v>31</v>
      </c>
      <c r="B27" s="361"/>
      <c r="C27" s="393">
        <f>HLOOKUP($C$2,'FY23 POFR FTE'!$E$11:$CR$37,21,FALSE)</f>
        <v>0</v>
      </c>
      <c r="D27" s="393"/>
      <c r="E27" s="394">
        <v>1.0720000000000001</v>
      </c>
      <c r="F27" s="395"/>
      <c r="G27" s="268">
        <f t="shared" si="1"/>
        <v>0</v>
      </c>
      <c r="H27" s="239">
        <f t="shared" si="0"/>
        <v>0</v>
      </c>
      <c r="K27" s="172"/>
      <c r="P27" s="172"/>
      <c r="Q27" s="172"/>
      <c r="U27" s="172"/>
    </row>
    <row r="28" spans="1:22" ht="20.25" customHeight="1" x14ac:dyDescent="0.3">
      <c r="A28" s="396" t="s">
        <v>4</v>
      </c>
      <c r="B28" s="396"/>
      <c r="C28" s="397">
        <f>SUM(C12:C27)</f>
        <v>306.38</v>
      </c>
      <c r="D28" s="397"/>
      <c r="E28" s="398"/>
      <c r="F28" s="398"/>
      <c r="G28" s="269">
        <f>SUM(G12:G27)</f>
        <v>304.72300000000001</v>
      </c>
      <c r="H28" s="239">
        <f>SUM(H12:H27)</f>
        <v>1602530</v>
      </c>
      <c r="K28" s="172"/>
      <c r="P28" s="172"/>
      <c r="Q28" s="172"/>
      <c r="U28" s="172"/>
    </row>
    <row r="29" spans="1:22" ht="36" customHeight="1" x14ac:dyDescent="0.3">
      <c r="A29" s="349" t="s">
        <v>76</v>
      </c>
      <c r="B29" s="349"/>
      <c r="C29" s="349"/>
      <c r="D29" s="349"/>
      <c r="E29" s="349"/>
      <c r="F29" s="349"/>
      <c r="G29" s="349"/>
      <c r="H29" s="187"/>
      <c r="J29" s="25" t="s">
        <v>414</v>
      </c>
      <c r="K29" s="25"/>
      <c r="L29" s="25"/>
      <c r="M29" s="25"/>
      <c r="N29" s="25"/>
      <c r="O29" s="25"/>
      <c r="P29" s="25"/>
      <c r="Q29" s="25"/>
      <c r="R29" s="25"/>
      <c r="S29" s="25"/>
      <c r="T29" s="25"/>
      <c r="U29" s="172"/>
    </row>
    <row r="30" spans="1:22" ht="88.5" customHeight="1" x14ac:dyDescent="0.3">
      <c r="A30" s="386" t="s">
        <v>54</v>
      </c>
      <c r="B30" s="386"/>
      <c r="C30" s="391" t="s">
        <v>292</v>
      </c>
      <c r="D30" s="392"/>
      <c r="E30" s="392"/>
      <c r="F30" s="392"/>
      <c r="G30" s="392"/>
      <c r="H30" s="184" t="s">
        <v>420</v>
      </c>
      <c r="K30" s="172"/>
      <c r="P30" s="172"/>
      <c r="Q30" s="172"/>
      <c r="U30" s="172"/>
    </row>
    <row r="31" spans="1:22" ht="20.25" customHeight="1" x14ac:dyDescent="0.3">
      <c r="A31" s="377" t="s">
        <v>49</v>
      </c>
      <c r="B31" s="377"/>
      <c r="C31" s="387"/>
      <c r="D31" s="387"/>
      <c r="E31" s="387"/>
      <c r="F31" s="387"/>
      <c r="G31" s="387"/>
      <c r="H31" s="241">
        <f t="shared" ref="H31:H37" si="2">ROUND(ROUND(C31*$C$6,4)*($G$6),0)</f>
        <v>0</v>
      </c>
      <c r="K31" s="172"/>
      <c r="P31" s="172"/>
      <c r="Q31" s="172"/>
      <c r="U31" s="172"/>
    </row>
    <row r="32" spans="1:22" ht="20.25" customHeight="1" x14ac:dyDescent="0.3">
      <c r="A32" s="359" t="s">
        <v>50</v>
      </c>
      <c r="B32" s="359"/>
      <c r="C32" s="387"/>
      <c r="D32" s="387"/>
      <c r="E32" s="387"/>
      <c r="F32" s="387"/>
      <c r="G32" s="387"/>
      <c r="H32" s="241">
        <f t="shared" si="2"/>
        <v>0</v>
      </c>
      <c r="K32" s="172"/>
      <c r="P32" s="172"/>
      <c r="Q32" s="172"/>
      <c r="U32" s="172"/>
    </row>
    <row r="33" spans="1:21" ht="20.25" customHeight="1" x14ac:dyDescent="0.3">
      <c r="A33" s="389" t="s">
        <v>51</v>
      </c>
      <c r="B33" s="389"/>
      <c r="C33" s="390"/>
      <c r="D33" s="390"/>
      <c r="E33" s="390"/>
      <c r="F33" s="390"/>
      <c r="G33" s="390"/>
      <c r="H33" s="241">
        <f t="shared" si="2"/>
        <v>0</v>
      </c>
      <c r="K33" s="172"/>
      <c r="P33" s="172"/>
      <c r="Q33" s="172"/>
      <c r="U33" s="172"/>
    </row>
    <row r="34" spans="1:21" ht="20.25" customHeight="1" x14ac:dyDescent="0.3">
      <c r="A34" s="359" t="s">
        <v>52</v>
      </c>
      <c r="B34" s="359"/>
      <c r="C34" s="387"/>
      <c r="D34" s="387"/>
      <c r="E34" s="387"/>
      <c r="F34" s="387"/>
      <c r="G34" s="387"/>
      <c r="H34" s="241">
        <f t="shared" si="2"/>
        <v>0</v>
      </c>
      <c r="K34" s="172"/>
      <c r="P34" s="172"/>
      <c r="Q34" s="172"/>
      <c r="U34" s="172"/>
    </row>
    <row r="35" spans="1:21" ht="20.25" customHeight="1" x14ac:dyDescent="0.3">
      <c r="A35" s="359" t="s">
        <v>53</v>
      </c>
      <c r="B35" s="359"/>
      <c r="C35" s="387"/>
      <c r="D35" s="387"/>
      <c r="E35" s="387"/>
      <c r="F35" s="387"/>
      <c r="G35" s="387"/>
      <c r="H35" s="241">
        <f t="shared" si="2"/>
        <v>0</v>
      </c>
      <c r="K35" s="172"/>
      <c r="P35" s="172"/>
      <c r="Q35" s="172"/>
      <c r="U35" s="172"/>
    </row>
    <row r="36" spans="1:21" ht="20.25" customHeight="1" x14ac:dyDescent="0.3">
      <c r="A36" s="199" t="s">
        <v>45</v>
      </c>
      <c r="B36" s="199"/>
      <c r="C36" s="301"/>
      <c r="D36" s="301"/>
      <c r="E36" s="301"/>
      <c r="F36" s="301"/>
      <c r="G36" s="301"/>
      <c r="H36" s="241">
        <f t="shared" si="2"/>
        <v>0</v>
      </c>
      <c r="K36" s="172"/>
      <c r="P36" s="172"/>
      <c r="Q36" s="172"/>
      <c r="U36" s="172"/>
    </row>
    <row r="37" spans="1:21" ht="20.25" customHeight="1" x14ac:dyDescent="0.3">
      <c r="A37" s="361" t="s">
        <v>398</v>
      </c>
      <c r="B37" s="361"/>
      <c r="C37" s="387"/>
      <c r="D37" s="387"/>
      <c r="E37" s="387"/>
      <c r="F37" s="387"/>
      <c r="G37" s="387"/>
      <c r="H37" s="241">
        <f t="shared" si="2"/>
        <v>0</v>
      </c>
      <c r="K37" s="172"/>
      <c r="P37" s="172"/>
      <c r="Q37" s="172"/>
      <c r="U37" s="172"/>
    </row>
    <row r="38" spans="1:21" ht="20.25" customHeight="1" thickBot="1" x14ac:dyDescent="0.35">
      <c r="A38" s="355" t="s">
        <v>47</v>
      </c>
      <c r="B38" s="355"/>
      <c r="C38" s="355"/>
      <c r="D38" s="355"/>
      <c r="E38" s="188">
        <f>SUM(C31:E37)</f>
        <v>0</v>
      </c>
      <c r="F38" s="388" t="s">
        <v>55</v>
      </c>
      <c r="G38" s="388"/>
      <c r="H38" s="242">
        <f>SUM(H31:H37)</f>
        <v>0</v>
      </c>
      <c r="K38" s="172"/>
      <c r="P38" s="172"/>
      <c r="Q38" s="172"/>
      <c r="U38" s="172"/>
    </row>
    <row r="39" spans="1:21" ht="20.25" customHeight="1" thickBot="1" x14ac:dyDescent="0.35">
      <c r="A39" s="355" t="s">
        <v>48</v>
      </c>
      <c r="B39" s="355"/>
      <c r="C39" s="355"/>
      <c r="D39" s="355"/>
      <c r="E39" s="190">
        <f>E38+G28</f>
        <v>304.72300000000001</v>
      </c>
      <c r="F39" s="388" t="s">
        <v>46</v>
      </c>
      <c r="G39" s="388"/>
      <c r="H39" s="243">
        <f>SUM(H38,H28)</f>
        <v>1602530</v>
      </c>
      <c r="K39" s="172"/>
      <c r="P39" s="172"/>
      <c r="Q39" s="172"/>
      <c r="U39" s="172"/>
    </row>
    <row r="40" spans="1:21" ht="20.25" customHeight="1" x14ac:dyDescent="0.3">
      <c r="A40" s="206"/>
      <c r="B40" s="206"/>
      <c r="C40" s="206"/>
      <c r="D40" s="206"/>
      <c r="E40" s="190"/>
      <c r="F40" s="313"/>
      <c r="G40" s="313"/>
      <c r="H40" s="242"/>
      <c r="K40" s="172"/>
      <c r="P40" s="172"/>
      <c r="Q40" s="172"/>
      <c r="U40" s="172"/>
    </row>
    <row r="41" spans="1:21" ht="66" customHeight="1" x14ac:dyDescent="0.3">
      <c r="A41" s="386" t="s">
        <v>426</v>
      </c>
      <c r="B41" s="386"/>
      <c r="C41" s="386"/>
      <c r="D41" s="386"/>
      <c r="E41" s="386"/>
      <c r="F41" s="192"/>
      <c r="G41" s="324"/>
      <c r="H41" s="191"/>
      <c r="K41" s="172"/>
      <c r="P41" s="172"/>
      <c r="Q41" s="172"/>
      <c r="U41" s="172"/>
    </row>
    <row r="42" spans="1:21" ht="15.75" customHeight="1" x14ac:dyDescent="0.3">
      <c r="A42" s="377" t="s">
        <v>421</v>
      </c>
      <c r="B42" s="377"/>
      <c r="C42" s="377"/>
      <c r="D42" s="322" t="s">
        <v>424</v>
      </c>
      <c r="E42" s="323">
        <f>H39</f>
        <v>1602530</v>
      </c>
      <c r="F42" s="260" t="s">
        <v>425</v>
      </c>
      <c r="G42" s="327">
        <v>4.5199999999999997E-2</v>
      </c>
      <c r="H42" s="194">
        <f>ROUND(E42*G42,0)</f>
        <v>72434</v>
      </c>
      <c r="K42" s="172"/>
      <c r="P42" s="172"/>
      <c r="Q42" s="172"/>
      <c r="U42" s="172"/>
    </row>
    <row r="43" spans="1:21" ht="15.5" x14ac:dyDescent="0.3">
      <c r="A43" s="359" t="s">
        <v>422</v>
      </c>
      <c r="B43" s="359"/>
      <c r="C43" s="359"/>
      <c r="D43" s="328" t="s">
        <v>424</v>
      </c>
      <c r="E43" s="323">
        <f>H39</f>
        <v>1602530</v>
      </c>
      <c r="F43" s="260" t="s">
        <v>425</v>
      </c>
      <c r="G43" s="326">
        <v>1.41E-2</v>
      </c>
      <c r="H43" s="194">
        <f>ROUND(E43*G43,0)</f>
        <v>22596</v>
      </c>
      <c r="K43" s="172"/>
      <c r="P43" s="172"/>
      <c r="Q43" s="172"/>
      <c r="U43" s="172"/>
    </row>
    <row r="44" spans="1:21" ht="15.5" x14ac:dyDescent="0.3">
      <c r="A44" s="353" t="s">
        <v>423</v>
      </c>
      <c r="B44" s="353"/>
      <c r="C44" s="353"/>
      <c r="D44" s="312"/>
      <c r="E44" s="260"/>
      <c r="F44" s="260"/>
      <c r="G44" s="325"/>
      <c r="H44" s="329">
        <f>H42+H43</f>
        <v>95030</v>
      </c>
      <c r="K44" s="172"/>
      <c r="P44" s="172"/>
      <c r="Q44" s="172"/>
      <c r="U44" s="172"/>
    </row>
    <row r="45" spans="1:21" ht="30" x14ac:dyDescent="0.3">
      <c r="A45" s="378" t="s">
        <v>456</v>
      </c>
      <c r="B45" s="378"/>
      <c r="C45" s="379" t="s">
        <v>457</v>
      </c>
      <c r="D45" s="379"/>
      <c r="E45" s="191" t="s">
        <v>458</v>
      </c>
      <c r="F45" s="192" t="s">
        <v>459</v>
      </c>
      <c r="G45" s="340" t="s">
        <v>460</v>
      </c>
      <c r="H45" s="191"/>
      <c r="K45" s="172"/>
      <c r="P45" s="172"/>
      <c r="Q45" s="172"/>
      <c r="U45" s="172"/>
    </row>
    <row r="46" spans="1:21" x14ac:dyDescent="0.3">
      <c r="A46" s="380" t="s">
        <v>461</v>
      </c>
      <c r="B46" s="380"/>
      <c r="C46" s="382"/>
      <c r="D46" s="382"/>
      <c r="E46" s="193" t="s">
        <v>462</v>
      </c>
      <c r="F46" s="193">
        <v>251</v>
      </c>
      <c r="G46" s="341">
        <v>1058</v>
      </c>
      <c r="H46" s="194">
        <f>ROUND(C46*G46,0)</f>
        <v>0</v>
      </c>
      <c r="K46" s="172"/>
      <c r="P46" s="172"/>
      <c r="Q46" s="172"/>
      <c r="U46" s="172"/>
    </row>
    <row r="47" spans="1:21" x14ac:dyDescent="0.3">
      <c r="A47" s="381"/>
      <c r="B47" s="381"/>
      <c r="C47" s="383"/>
      <c r="D47" s="383"/>
      <c r="E47" s="193" t="s">
        <v>462</v>
      </c>
      <c r="F47" s="193">
        <v>252</v>
      </c>
      <c r="G47" s="341">
        <v>3418</v>
      </c>
      <c r="H47" s="194">
        <f t="shared" ref="H47:H54" si="3">ROUND(C47*G47,0)</f>
        <v>0</v>
      </c>
      <c r="K47" s="172"/>
      <c r="P47" s="172"/>
      <c r="Q47" s="172"/>
      <c r="U47" s="172"/>
    </row>
    <row r="48" spans="1:21" x14ac:dyDescent="0.3">
      <c r="A48" s="381"/>
      <c r="B48" s="381"/>
      <c r="C48" s="383"/>
      <c r="D48" s="383"/>
      <c r="E48" s="193" t="s">
        <v>462</v>
      </c>
      <c r="F48" s="193">
        <v>253</v>
      </c>
      <c r="G48" s="341">
        <v>6974</v>
      </c>
      <c r="H48" s="194">
        <f t="shared" si="3"/>
        <v>0</v>
      </c>
      <c r="K48" s="172"/>
      <c r="P48" s="172"/>
      <c r="Q48" s="172"/>
      <c r="U48" s="172"/>
    </row>
    <row r="49" spans="1:21" x14ac:dyDescent="0.3">
      <c r="A49" s="381"/>
      <c r="B49" s="381"/>
      <c r="C49" s="383"/>
      <c r="D49" s="383"/>
      <c r="E49" s="208" t="s">
        <v>10</v>
      </c>
      <c r="F49" s="193">
        <v>251</v>
      </c>
      <c r="G49" s="341">
        <v>1187</v>
      </c>
      <c r="H49" s="194">
        <f t="shared" si="3"/>
        <v>0</v>
      </c>
      <c r="K49" s="172"/>
      <c r="P49" s="172"/>
      <c r="Q49" s="172"/>
      <c r="U49" s="172"/>
    </row>
    <row r="50" spans="1:21" ht="15" customHeight="1" x14ac:dyDescent="0.3">
      <c r="A50" s="381"/>
      <c r="B50" s="381"/>
      <c r="C50" s="383"/>
      <c r="D50" s="383"/>
      <c r="E50" s="208" t="s">
        <v>10</v>
      </c>
      <c r="F50" s="193">
        <v>252</v>
      </c>
      <c r="G50" s="341">
        <v>3546</v>
      </c>
      <c r="H50" s="194">
        <f t="shared" si="3"/>
        <v>0</v>
      </c>
      <c r="K50" s="172"/>
      <c r="P50" s="172"/>
      <c r="Q50" s="172"/>
      <c r="U50" s="172"/>
    </row>
    <row r="51" spans="1:21" x14ac:dyDescent="0.3">
      <c r="A51" s="381"/>
      <c r="B51" s="381"/>
      <c r="C51" s="383"/>
      <c r="D51" s="383"/>
      <c r="E51" s="208" t="s">
        <v>10</v>
      </c>
      <c r="F51" s="193">
        <v>253</v>
      </c>
      <c r="G51" s="341">
        <v>7102</v>
      </c>
      <c r="H51" s="194">
        <f t="shared" si="3"/>
        <v>0</v>
      </c>
      <c r="K51" s="172"/>
      <c r="P51" s="172"/>
      <c r="Q51" s="172"/>
      <c r="U51" s="172"/>
    </row>
    <row r="52" spans="1:21" x14ac:dyDescent="0.3">
      <c r="A52" s="381"/>
      <c r="B52" s="381"/>
      <c r="C52" s="383"/>
      <c r="D52" s="383"/>
      <c r="E52" s="208" t="s">
        <v>11</v>
      </c>
      <c r="F52" s="193">
        <v>251</v>
      </c>
      <c r="G52" s="341">
        <v>845</v>
      </c>
      <c r="H52" s="194">
        <f t="shared" si="3"/>
        <v>0</v>
      </c>
      <c r="K52" s="172"/>
      <c r="P52" s="172"/>
      <c r="Q52" s="172"/>
      <c r="U52" s="172"/>
    </row>
    <row r="53" spans="1:21" x14ac:dyDescent="0.3">
      <c r="A53" s="381"/>
      <c r="B53" s="381"/>
      <c r="C53" s="383"/>
      <c r="D53" s="383"/>
      <c r="E53" s="208" t="s">
        <v>11</v>
      </c>
      <c r="F53" s="193">
        <v>252</v>
      </c>
      <c r="G53" s="341">
        <v>3204</v>
      </c>
      <c r="H53" s="194">
        <f t="shared" si="3"/>
        <v>0</v>
      </c>
      <c r="K53" s="172"/>
      <c r="P53" s="172"/>
      <c r="Q53" s="172"/>
      <c r="U53" s="172"/>
    </row>
    <row r="54" spans="1:21" ht="15.5" thickBot="1" x14ac:dyDescent="0.35">
      <c r="A54" s="381"/>
      <c r="B54" s="381"/>
      <c r="C54" s="384"/>
      <c r="D54" s="384"/>
      <c r="E54" s="208" t="s">
        <v>11</v>
      </c>
      <c r="F54" s="193">
        <v>253</v>
      </c>
      <c r="G54" s="341">
        <v>6760</v>
      </c>
      <c r="H54" s="342">
        <f t="shared" si="3"/>
        <v>0</v>
      </c>
      <c r="K54" s="172"/>
      <c r="P54" s="172"/>
      <c r="Q54" s="172"/>
      <c r="U54" s="172"/>
    </row>
    <row r="55" spans="1:21" ht="15.5" thickBot="1" x14ac:dyDescent="0.35">
      <c r="A55" s="355" t="s">
        <v>463</v>
      </c>
      <c r="B55" s="355"/>
      <c r="C55" s="385">
        <f>SUM(C46:C54)</f>
        <v>0</v>
      </c>
      <c r="D55" s="385"/>
      <c r="E55" s="355" t="s">
        <v>464</v>
      </c>
      <c r="F55" s="355"/>
      <c r="G55" s="355"/>
      <c r="H55" s="343">
        <f>SUM(H46:H54)</f>
        <v>0</v>
      </c>
      <c r="K55" s="172"/>
      <c r="P55" s="172"/>
      <c r="Q55" s="172"/>
      <c r="U55" s="172"/>
    </row>
    <row r="56" spans="1:21" ht="37.5" customHeight="1" x14ac:dyDescent="0.3">
      <c r="A56" s="353" t="s">
        <v>465</v>
      </c>
      <c r="B56" s="353"/>
      <c r="C56" s="353"/>
      <c r="D56" s="353"/>
      <c r="E56" s="353"/>
      <c r="F56" s="353"/>
      <c r="G56" s="353"/>
      <c r="H56" s="353"/>
      <c r="J56" s="173"/>
      <c r="K56" s="172"/>
      <c r="O56" s="174"/>
      <c r="Q56" s="172"/>
      <c r="U56" s="172"/>
    </row>
    <row r="57" spans="1:21" ht="15.5" x14ac:dyDescent="0.35">
      <c r="A57" s="373" t="s">
        <v>73</v>
      </c>
      <c r="B57" s="373"/>
      <c r="C57" s="196">
        <f>C28</f>
        <v>306.38</v>
      </c>
      <c r="D57" s="197" t="s">
        <v>72</v>
      </c>
      <c r="E57" s="173"/>
      <c r="F57" s="198" t="s">
        <v>71</v>
      </c>
      <c r="G57" s="362">
        <v>272606.05</v>
      </c>
      <c r="H57" s="362"/>
      <c r="K57" s="172"/>
      <c r="P57" s="172"/>
      <c r="Q57" s="172"/>
      <c r="U57" s="172"/>
    </row>
    <row r="58" spans="1:21" ht="15.5" x14ac:dyDescent="0.35">
      <c r="A58" s="235"/>
      <c r="B58" s="199"/>
      <c r="F58" s="200" t="s">
        <v>9</v>
      </c>
      <c r="G58" s="363">
        <f>ROUND(C57/G57,6)</f>
        <v>1.124E-3</v>
      </c>
      <c r="H58" s="363"/>
      <c r="K58" s="172"/>
      <c r="P58" s="172"/>
      <c r="Q58" s="172"/>
      <c r="U58" s="172"/>
    </row>
    <row r="59" spans="1:21" ht="35.25" customHeight="1" x14ac:dyDescent="0.3">
      <c r="A59" s="353" t="s">
        <v>466</v>
      </c>
      <c r="B59" s="353"/>
      <c r="C59" s="353"/>
      <c r="D59" s="353"/>
      <c r="E59" s="353"/>
      <c r="F59" s="353"/>
      <c r="G59" s="353"/>
      <c r="H59" s="353"/>
      <c r="J59" s="173"/>
      <c r="K59" s="172"/>
      <c r="O59" s="174"/>
      <c r="Q59" s="172"/>
      <c r="U59" s="172"/>
    </row>
    <row r="60" spans="1:21" ht="15.5" x14ac:dyDescent="0.35">
      <c r="A60" s="373" t="s">
        <v>75</v>
      </c>
      <c r="B60" s="373"/>
      <c r="C60" s="196">
        <f>E39</f>
        <v>304.72300000000001</v>
      </c>
      <c r="D60" s="197" t="s">
        <v>72</v>
      </c>
      <c r="E60" s="173"/>
      <c r="F60" s="198" t="s">
        <v>74</v>
      </c>
      <c r="G60" s="362">
        <v>301876.18</v>
      </c>
      <c r="H60" s="362"/>
      <c r="K60" s="172"/>
      <c r="P60" s="172"/>
      <c r="Q60" s="172"/>
      <c r="U60" s="172"/>
    </row>
    <row r="61" spans="1:21" ht="15.5" x14ac:dyDescent="0.35">
      <c r="A61" s="235"/>
      <c r="F61" s="200" t="s">
        <v>9</v>
      </c>
      <c r="G61" s="363">
        <f>ROUND(C60/G60,6)</f>
        <v>1.0089999999999999E-3</v>
      </c>
      <c r="H61" s="363"/>
      <c r="K61" s="172"/>
      <c r="P61" s="172"/>
      <c r="Q61" s="172"/>
      <c r="U61" s="172"/>
    </row>
    <row r="62" spans="1:21" x14ac:dyDescent="0.3">
      <c r="A62" s="353" t="s">
        <v>467</v>
      </c>
      <c r="B62" s="353"/>
      <c r="C62" s="353"/>
      <c r="D62" s="353"/>
      <c r="E62" s="353"/>
      <c r="F62" s="353"/>
      <c r="G62" s="353"/>
      <c r="H62" s="353"/>
      <c r="K62" s="172"/>
      <c r="P62" s="172"/>
      <c r="Q62" s="172"/>
      <c r="U62" s="172"/>
    </row>
    <row r="63" spans="1:21" ht="38.25" customHeight="1" x14ac:dyDescent="0.35">
      <c r="A63" s="373" t="s">
        <v>427</v>
      </c>
      <c r="B63" s="373"/>
      <c r="C63" s="196">
        <f>C28</f>
        <v>306.38</v>
      </c>
      <c r="D63" s="197" t="s">
        <v>72</v>
      </c>
      <c r="E63" s="374" t="s">
        <v>428</v>
      </c>
      <c r="F63" s="374"/>
      <c r="G63" s="362">
        <v>248071.28</v>
      </c>
      <c r="H63" s="362"/>
      <c r="K63" s="172"/>
      <c r="P63" s="172"/>
      <c r="Q63" s="172"/>
      <c r="U63" s="172"/>
    </row>
    <row r="64" spans="1:21" ht="15.5" x14ac:dyDescent="0.35">
      <c r="A64" s="235"/>
      <c r="F64" s="200" t="s">
        <v>9</v>
      </c>
      <c r="G64" s="317">
        <f>ROUND(C63/G63,6)</f>
        <v>1.235E-3</v>
      </c>
      <c r="H64" s="317"/>
      <c r="K64" s="172"/>
      <c r="P64" s="172"/>
      <c r="Q64" s="172"/>
      <c r="U64" s="172"/>
    </row>
    <row r="65" spans="1:21" x14ac:dyDescent="0.3">
      <c r="A65" s="353" t="s">
        <v>468</v>
      </c>
      <c r="B65" s="353"/>
      <c r="C65" s="353"/>
      <c r="D65" s="353"/>
      <c r="E65" s="353"/>
      <c r="F65" s="353"/>
      <c r="G65" s="353"/>
      <c r="H65" s="353"/>
      <c r="K65" s="172"/>
      <c r="P65" s="172"/>
      <c r="Q65" s="172"/>
      <c r="U65" s="172"/>
    </row>
    <row r="66" spans="1:21" ht="35.25" customHeight="1" x14ac:dyDescent="0.35">
      <c r="A66" s="373" t="s">
        <v>427</v>
      </c>
      <c r="B66" s="373"/>
      <c r="C66" s="196">
        <f>C28</f>
        <v>306.38</v>
      </c>
      <c r="D66" s="197" t="s">
        <v>72</v>
      </c>
      <c r="E66" s="374" t="s">
        <v>429</v>
      </c>
      <c r="F66" s="374"/>
      <c r="G66" s="362">
        <v>272121.2</v>
      </c>
      <c r="H66" s="362"/>
      <c r="K66" s="172"/>
      <c r="P66" s="172"/>
      <c r="Q66" s="172"/>
      <c r="U66" s="172"/>
    </row>
    <row r="67" spans="1:21" ht="15.5" x14ac:dyDescent="0.35">
      <c r="A67" s="235"/>
      <c r="F67" s="200" t="s">
        <v>9</v>
      </c>
      <c r="G67" s="363">
        <f>ROUND(C66/G66,6)</f>
        <v>1.126E-3</v>
      </c>
      <c r="H67" s="363"/>
      <c r="K67" s="172"/>
      <c r="P67" s="172"/>
      <c r="Q67" s="172"/>
      <c r="U67" s="172"/>
    </row>
    <row r="68" spans="1:21" x14ac:dyDescent="0.3">
      <c r="A68" s="353" t="s">
        <v>469</v>
      </c>
      <c r="B68" s="353"/>
      <c r="C68" s="353"/>
      <c r="D68" s="353"/>
      <c r="E68" s="353"/>
      <c r="F68" s="353"/>
      <c r="G68" s="353"/>
      <c r="H68" s="353"/>
      <c r="K68" s="172"/>
      <c r="P68" s="172"/>
      <c r="Q68" s="172"/>
      <c r="U68" s="172"/>
    </row>
    <row r="69" spans="1:21" ht="49.5" customHeight="1" x14ac:dyDescent="0.35">
      <c r="A69" s="373" t="s">
        <v>427</v>
      </c>
      <c r="B69" s="373"/>
      <c r="C69" s="196">
        <f>C28</f>
        <v>306.38</v>
      </c>
      <c r="D69" s="197" t="s">
        <v>72</v>
      </c>
      <c r="E69" s="374" t="s">
        <v>430</v>
      </c>
      <c r="F69" s="374"/>
      <c r="G69" s="362">
        <v>247586.43000000002</v>
      </c>
      <c r="H69" s="362"/>
      <c r="K69" s="172"/>
      <c r="P69" s="172"/>
      <c r="Q69" s="172"/>
      <c r="U69" s="172"/>
    </row>
    <row r="70" spans="1:21" ht="15.5" x14ac:dyDescent="0.35">
      <c r="A70" s="235"/>
      <c r="F70" s="200" t="s">
        <v>9</v>
      </c>
      <c r="G70" s="363">
        <f>ROUND(C69/G69,6)</f>
        <v>1.237E-3</v>
      </c>
      <c r="H70" s="363"/>
      <c r="K70" s="172"/>
      <c r="P70" s="172"/>
      <c r="Q70" s="172"/>
      <c r="U70" s="172"/>
    </row>
    <row r="71" spans="1:21" ht="15.5" x14ac:dyDescent="0.35">
      <c r="A71" s="235"/>
      <c r="F71" s="200"/>
      <c r="G71" s="317"/>
      <c r="H71" s="317"/>
      <c r="K71" s="172"/>
      <c r="P71" s="172"/>
      <c r="Q71" s="172"/>
      <c r="U71" s="172"/>
    </row>
    <row r="72" spans="1:21" ht="26.25" customHeight="1" x14ac:dyDescent="0.3">
      <c r="A72" s="370" t="s">
        <v>470</v>
      </c>
      <c r="B72" s="370"/>
      <c r="C72" s="370"/>
      <c r="D72" s="201" t="s">
        <v>431</v>
      </c>
      <c r="E72" s="299">
        <v>59093840</v>
      </c>
      <c r="F72" s="193" t="s">
        <v>5</v>
      </c>
      <c r="G72" s="202">
        <f>G67</f>
        <v>1.126E-3</v>
      </c>
      <c r="H72" s="186">
        <f>ROUND(E72*G72,0)</f>
        <v>66540</v>
      </c>
      <c r="K72" s="172"/>
      <c r="P72" s="172"/>
      <c r="Q72" s="172"/>
      <c r="U72" s="172"/>
    </row>
    <row r="73" spans="1:21" x14ac:dyDescent="0.3">
      <c r="A73" s="371" t="s">
        <v>471</v>
      </c>
      <c r="B73" s="353"/>
      <c r="C73" s="353"/>
      <c r="D73" s="201"/>
      <c r="E73" s="300"/>
      <c r="F73" s="193"/>
      <c r="G73" s="202"/>
      <c r="H73" s="186"/>
      <c r="K73" s="172"/>
      <c r="P73" s="172"/>
      <c r="Q73" s="172"/>
      <c r="U73" s="172"/>
    </row>
    <row r="74" spans="1:21" x14ac:dyDescent="0.3">
      <c r="A74" s="372" t="s">
        <v>70</v>
      </c>
      <c r="B74" s="373"/>
      <c r="C74" s="373"/>
      <c r="D74" s="201" t="s">
        <v>2</v>
      </c>
      <c r="E74" s="299">
        <v>0</v>
      </c>
      <c r="F74" s="193" t="s">
        <v>5</v>
      </c>
      <c r="G74" s="202">
        <f>G58</f>
        <v>1.124E-3</v>
      </c>
      <c r="H74" s="186">
        <f>ROUND(E74*G74,0)</f>
        <v>0</v>
      </c>
      <c r="K74" s="172"/>
      <c r="P74" s="172"/>
      <c r="Q74" s="172"/>
      <c r="U74" s="172"/>
    </row>
    <row r="75" spans="1:21" ht="26.25" customHeight="1" x14ac:dyDescent="0.3">
      <c r="A75" s="353" t="s">
        <v>472</v>
      </c>
      <c r="B75" s="353"/>
      <c r="C75" s="353"/>
      <c r="D75" s="201" t="s">
        <v>36</v>
      </c>
      <c r="E75" s="299">
        <v>21742075</v>
      </c>
      <c r="F75" s="193" t="s">
        <v>5</v>
      </c>
      <c r="G75" s="202">
        <f>G70</f>
        <v>1.237E-3</v>
      </c>
      <c r="H75" s="186">
        <f>ROUND(E75*G75,0)</f>
        <v>26895</v>
      </c>
      <c r="K75" s="172"/>
      <c r="P75" s="172"/>
      <c r="Q75" s="172"/>
      <c r="U75" s="172"/>
    </row>
    <row r="76" spans="1:21" ht="21" customHeight="1" x14ac:dyDescent="0.3">
      <c r="A76" s="204" t="s">
        <v>473</v>
      </c>
      <c r="B76" s="204"/>
      <c r="C76" s="204"/>
      <c r="D76" s="201" t="s">
        <v>2</v>
      </c>
      <c r="E76" s="203">
        <v>13292890</v>
      </c>
      <c r="F76" s="193" t="s">
        <v>5</v>
      </c>
      <c r="G76" s="202">
        <f>G64</f>
        <v>1.235E-3</v>
      </c>
      <c r="H76" s="186">
        <f>ROUND(E76*G76,0)</f>
        <v>16417</v>
      </c>
      <c r="K76" s="172"/>
      <c r="P76" s="172"/>
      <c r="Q76" s="172"/>
      <c r="U76" s="172"/>
    </row>
    <row r="77" spans="1:21" ht="20.25" customHeight="1" x14ac:dyDescent="0.35">
      <c r="A77" s="353" t="s">
        <v>432</v>
      </c>
      <c r="B77" s="353"/>
      <c r="C77" s="353"/>
      <c r="D77" s="201" t="s">
        <v>3</v>
      </c>
      <c r="E77" s="203">
        <v>214766689</v>
      </c>
      <c r="F77" s="193" t="s">
        <v>5</v>
      </c>
      <c r="G77" s="202">
        <f>G61</f>
        <v>1.0089999999999999E-3</v>
      </c>
      <c r="H77" s="330">
        <f t="shared" ref="H77:H78" si="4">ROUND(E77*G77,0)</f>
        <v>216700</v>
      </c>
      <c r="J77" s="26"/>
      <c r="K77" s="172"/>
      <c r="P77" s="172"/>
      <c r="Q77" s="172"/>
      <c r="U77" s="172"/>
    </row>
    <row r="78" spans="1:21" ht="20.25" customHeight="1" x14ac:dyDescent="0.3">
      <c r="A78" s="353" t="s">
        <v>433</v>
      </c>
      <c r="B78" s="353"/>
      <c r="C78" s="353"/>
      <c r="D78" s="201" t="s">
        <v>3</v>
      </c>
      <c r="E78" s="203">
        <v>0</v>
      </c>
      <c r="F78" s="193" t="s">
        <v>5</v>
      </c>
      <c r="G78" s="202">
        <f>G61</f>
        <v>1.0089999999999999E-3</v>
      </c>
      <c r="H78" s="330">
        <f t="shared" si="4"/>
        <v>0</v>
      </c>
      <c r="K78" s="172"/>
      <c r="P78" s="172"/>
      <c r="Q78" s="172"/>
      <c r="U78" s="172"/>
    </row>
    <row r="79" spans="1:21" ht="30.75" customHeight="1" x14ac:dyDescent="0.35">
      <c r="A79" s="353" t="s">
        <v>434</v>
      </c>
      <c r="B79" s="353"/>
      <c r="C79" s="353"/>
      <c r="D79" s="353"/>
      <c r="E79" s="353"/>
      <c r="F79" s="353"/>
      <c r="G79" s="353"/>
      <c r="H79" s="353"/>
      <c r="I79" s="204"/>
      <c r="K79" s="172"/>
      <c r="N79" s="204"/>
      <c r="O79" s="205"/>
      <c r="P79" s="179"/>
      <c r="Q79" s="172"/>
      <c r="R79" s="175"/>
      <c r="U79" s="172"/>
    </row>
    <row r="80" spans="1:21" ht="18.75" customHeight="1" x14ac:dyDescent="0.3">
      <c r="A80" s="375" t="s">
        <v>39</v>
      </c>
      <c r="B80" s="375"/>
      <c r="C80" s="376" t="s">
        <v>387</v>
      </c>
      <c r="D80" s="376"/>
      <c r="E80" s="344" t="s">
        <v>34</v>
      </c>
      <c r="F80" s="344"/>
      <c r="G80" s="344"/>
      <c r="H80" s="344"/>
      <c r="I80" s="175"/>
      <c r="K80" s="172"/>
      <c r="P80" s="172"/>
      <c r="Q80" s="172"/>
      <c r="U80" s="172"/>
    </row>
    <row r="81" spans="1:21" ht="18.75" customHeight="1" x14ac:dyDescent="0.3">
      <c r="A81" s="206" t="s">
        <v>13</v>
      </c>
      <c r="B81" s="236">
        <f>G12+G13+G18+G21+G24</f>
        <v>0</v>
      </c>
      <c r="C81" s="345">
        <f>G6</f>
        <v>1.0232000000000001</v>
      </c>
      <c r="D81" s="345"/>
      <c r="E81" s="207">
        <v>947.59</v>
      </c>
      <c r="F81" s="208" t="s">
        <v>9</v>
      </c>
      <c r="G81" s="203">
        <f>ROUND(B81*C81*E81,0)</f>
        <v>0</v>
      </c>
      <c r="H81" s="209"/>
      <c r="K81" s="172"/>
      <c r="P81" s="172"/>
      <c r="Q81" s="172"/>
      <c r="U81" s="172"/>
    </row>
    <row r="82" spans="1:21" ht="18" customHeight="1" x14ac:dyDescent="0.3">
      <c r="A82" s="210" t="s">
        <v>10</v>
      </c>
      <c r="B82" s="236">
        <f>G14+G15+G19+G22+G25</f>
        <v>0</v>
      </c>
      <c r="C82" s="345">
        <f>G6</f>
        <v>1.0232000000000001</v>
      </c>
      <c r="D82" s="345"/>
      <c r="E82" s="207">
        <v>904.74</v>
      </c>
      <c r="F82" s="208" t="s">
        <v>9</v>
      </c>
      <c r="G82" s="203">
        <f>ROUND(B82*C82*E82,0)</f>
        <v>0</v>
      </c>
      <c r="K82" s="172"/>
      <c r="P82" s="172"/>
      <c r="Q82" s="172"/>
      <c r="U82" s="172"/>
    </row>
    <row r="83" spans="1:21" ht="19.5" customHeight="1" thickBot="1" x14ac:dyDescent="0.35">
      <c r="A83" s="211" t="s">
        <v>11</v>
      </c>
      <c r="B83" s="212">
        <f>G16+G17+G20+G23+G26+G27</f>
        <v>304.72300000000001</v>
      </c>
      <c r="C83" s="345">
        <f>G6</f>
        <v>1.0232000000000001</v>
      </c>
      <c r="D83" s="345"/>
      <c r="E83" s="207">
        <v>906.93</v>
      </c>
      <c r="F83" s="208" t="s">
        <v>9</v>
      </c>
      <c r="G83" s="203">
        <f>ROUND(B83*C83*E83,0)</f>
        <v>282774</v>
      </c>
      <c r="I83" s="189"/>
      <c r="K83" s="172"/>
      <c r="P83" s="172"/>
      <c r="Q83" s="172"/>
      <c r="U83" s="172"/>
    </row>
    <row r="84" spans="1:21" ht="24" customHeight="1" thickBot="1" x14ac:dyDescent="0.35">
      <c r="A84" s="213" t="s">
        <v>15</v>
      </c>
      <c r="B84" s="214">
        <f>SUM(B81:B83)</f>
        <v>304.72300000000001</v>
      </c>
      <c r="C84" s="365" t="s">
        <v>12</v>
      </c>
      <c r="D84" s="366"/>
      <c r="E84" s="366"/>
      <c r="F84" s="366"/>
      <c r="G84" s="366"/>
      <c r="H84" s="186">
        <f>IF(A1=75,0,G83+G82+G81)</f>
        <v>282774</v>
      </c>
      <c r="K84" s="172"/>
      <c r="P84" s="172"/>
      <c r="Q84" s="172"/>
      <c r="U84" s="172"/>
    </row>
    <row r="85" spans="1:21" ht="19.5" customHeight="1" x14ac:dyDescent="0.35">
      <c r="A85" s="348" t="s">
        <v>66</v>
      </c>
      <c r="B85" s="348"/>
      <c r="C85" s="348"/>
      <c r="D85" s="348"/>
      <c r="E85" s="348"/>
      <c r="F85" s="348"/>
      <c r="G85" s="348"/>
      <c r="H85" s="348"/>
      <c r="I85" s="215"/>
      <c r="J85" s="215"/>
      <c r="K85" s="216"/>
      <c r="M85" s="217"/>
      <c r="N85" s="218"/>
      <c r="P85" s="172"/>
      <c r="Q85" s="172"/>
      <c r="R85" s="189"/>
      <c r="U85" s="172"/>
    </row>
    <row r="86" spans="1:21" ht="20.25" customHeight="1" x14ac:dyDescent="0.35">
      <c r="A86" s="353" t="s">
        <v>435</v>
      </c>
      <c r="B86" s="353"/>
      <c r="C86" s="353"/>
      <c r="D86" s="201" t="s">
        <v>35</v>
      </c>
      <c r="E86" s="364"/>
      <c r="F86" s="364"/>
      <c r="G86" s="364"/>
      <c r="H86" s="364"/>
      <c r="J86" s="26"/>
      <c r="K86" s="172"/>
      <c r="P86" s="172"/>
      <c r="Q86" s="172"/>
      <c r="U86" s="172"/>
    </row>
    <row r="87" spans="1:21" ht="24" customHeight="1" x14ac:dyDescent="0.35">
      <c r="A87" s="356" t="s">
        <v>56</v>
      </c>
      <c r="B87" s="356"/>
      <c r="C87" s="357">
        <v>200</v>
      </c>
      <c r="D87" s="357"/>
      <c r="E87" s="357"/>
      <c r="F87" s="219" t="s">
        <v>33</v>
      </c>
      <c r="G87" s="220">
        <v>531</v>
      </c>
      <c r="H87" s="330">
        <f>ROUND(G87*C87,0)</f>
        <v>106200</v>
      </c>
      <c r="J87" s="26"/>
      <c r="K87" s="172"/>
      <c r="P87" s="172"/>
      <c r="Q87" s="172"/>
      <c r="U87" s="172"/>
    </row>
    <row r="88" spans="1:21" ht="24" customHeight="1" x14ac:dyDescent="0.35">
      <c r="A88" s="356" t="s">
        <v>65</v>
      </c>
      <c r="B88" s="356"/>
      <c r="C88" s="369"/>
      <c r="D88" s="369"/>
      <c r="E88" s="369"/>
      <c r="F88" s="219" t="s">
        <v>33</v>
      </c>
      <c r="G88" s="220">
        <v>1656</v>
      </c>
      <c r="H88" s="330">
        <f>ROUND(G88*C88,0)</f>
        <v>0</v>
      </c>
      <c r="J88" s="26"/>
      <c r="K88" s="172"/>
      <c r="P88" s="172"/>
      <c r="Q88" s="172"/>
      <c r="U88" s="172"/>
    </row>
    <row r="89" spans="1:21" ht="24" customHeight="1" x14ac:dyDescent="0.3">
      <c r="A89" s="353" t="s">
        <v>436</v>
      </c>
      <c r="B89" s="353"/>
      <c r="C89" s="353"/>
      <c r="D89" s="193" t="s">
        <v>37</v>
      </c>
      <c r="E89" s="349"/>
      <c r="F89" s="349"/>
      <c r="G89" s="349"/>
      <c r="H89" s="349"/>
      <c r="K89" s="172"/>
      <c r="P89" s="172"/>
      <c r="Q89" s="172"/>
      <c r="U89" s="172"/>
    </row>
    <row r="90" spans="1:21" ht="57" customHeight="1" x14ac:dyDescent="0.3">
      <c r="A90" s="350" t="s">
        <v>68</v>
      </c>
      <c r="B90" s="350"/>
      <c r="C90" s="351" t="s">
        <v>67</v>
      </c>
      <c r="D90" s="351"/>
      <c r="E90" s="352" t="s">
        <v>57</v>
      </c>
      <c r="F90" s="352"/>
      <c r="G90" s="192" t="s">
        <v>437</v>
      </c>
      <c r="H90" s="221" t="s">
        <v>7</v>
      </c>
      <c r="K90" s="172"/>
      <c r="P90" s="172"/>
      <c r="Q90" s="172"/>
      <c r="U90" s="172"/>
    </row>
    <row r="91" spans="1:21" ht="24" customHeight="1" x14ac:dyDescent="0.3">
      <c r="A91" s="359" t="s">
        <v>58</v>
      </c>
      <c r="B91" s="359"/>
      <c r="C91" s="360"/>
      <c r="D91" s="360"/>
      <c r="E91" s="193">
        <v>0</v>
      </c>
      <c r="G91" s="193">
        <v>0</v>
      </c>
      <c r="H91" s="193"/>
      <c r="K91" s="172"/>
      <c r="P91" s="172"/>
      <c r="Q91" s="172"/>
      <c r="U91" s="172"/>
    </row>
    <row r="92" spans="1:21" ht="24" customHeight="1" x14ac:dyDescent="0.3">
      <c r="A92" s="359" t="s">
        <v>59</v>
      </c>
      <c r="B92" s="359"/>
      <c r="C92" s="360"/>
      <c r="D92" s="360"/>
      <c r="E92" s="193">
        <v>0</v>
      </c>
      <c r="G92" s="193">
        <v>0</v>
      </c>
      <c r="H92" s="193"/>
      <c r="K92" s="172"/>
      <c r="P92" s="172"/>
      <c r="Q92" s="172"/>
      <c r="U92" s="172"/>
    </row>
    <row r="93" spans="1:21" ht="24" customHeight="1" x14ac:dyDescent="0.3">
      <c r="A93" s="361" t="s">
        <v>60</v>
      </c>
      <c r="B93" s="361"/>
      <c r="C93" s="360"/>
      <c r="D93" s="360"/>
      <c r="E93" s="331"/>
      <c r="F93" s="332"/>
      <c r="G93" s="193">
        <v>0</v>
      </c>
      <c r="H93" s="193"/>
      <c r="K93" s="172"/>
      <c r="P93" s="172"/>
      <c r="Q93" s="172"/>
      <c r="U93" s="172"/>
    </row>
    <row r="94" spans="1:21" ht="24" customHeight="1" x14ac:dyDescent="0.3">
      <c r="A94" s="349" t="s">
        <v>7</v>
      </c>
      <c r="B94" s="349"/>
      <c r="C94" s="222"/>
      <c r="D94" s="222"/>
      <c r="E94" s="193"/>
      <c r="F94" s="193"/>
      <c r="G94" s="193"/>
      <c r="H94" s="193"/>
      <c r="K94" s="172"/>
      <c r="P94" s="172"/>
      <c r="Q94" s="172"/>
      <c r="U94" s="172"/>
    </row>
    <row r="95" spans="1:21" ht="20.25" customHeight="1" x14ac:dyDescent="0.3">
      <c r="A95" s="353" t="s">
        <v>438</v>
      </c>
      <c r="B95" s="353"/>
      <c r="C95" s="353"/>
      <c r="D95" s="311" t="s">
        <v>38</v>
      </c>
      <c r="E95" s="354"/>
      <c r="F95" s="354"/>
      <c r="G95" s="354"/>
      <c r="H95" s="333"/>
      <c r="K95" s="172"/>
      <c r="P95" s="172"/>
      <c r="Q95" s="172"/>
      <c r="U95" s="172"/>
    </row>
    <row r="96" spans="1:21" ht="20.25" customHeight="1" thickBot="1" x14ac:dyDescent="0.35">
      <c r="A96" s="355" t="s">
        <v>7</v>
      </c>
      <c r="B96" s="355"/>
      <c r="C96" s="355"/>
      <c r="D96" s="355"/>
      <c r="E96" s="355"/>
      <c r="F96" s="355"/>
      <c r="G96" s="355"/>
      <c r="H96" s="334">
        <f>SUM(H95,H94,H88,H87,H84,H78,H77,H75,H74,H72,H39,H76,H55)</f>
        <v>2318056</v>
      </c>
      <c r="K96" s="172"/>
      <c r="P96" s="172"/>
      <c r="Q96" s="172"/>
      <c r="U96" s="172"/>
    </row>
    <row r="97" spans="1:24" ht="20.25" customHeight="1" thickTop="1" x14ac:dyDescent="0.3">
      <c r="A97" s="206"/>
      <c r="B97" s="206"/>
      <c r="C97" s="206"/>
      <c r="D97" s="206"/>
      <c r="E97" s="206"/>
      <c r="F97" s="206"/>
      <c r="G97" s="206"/>
      <c r="H97" s="335"/>
      <c r="K97" s="172"/>
      <c r="P97" s="172"/>
      <c r="Q97" s="172"/>
      <c r="U97" s="172"/>
    </row>
    <row r="98" spans="1:24" ht="31.5" customHeight="1" thickBot="1" x14ac:dyDescent="0.35">
      <c r="A98" s="353" t="s">
        <v>439</v>
      </c>
      <c r="B98" s="353"/>
      <c r="C98" s="353"/>
      <c r="D98" s="349"/>
      <c r="E98" s="349"/>
      <c r="F98" s="349"/>
      <c r="G98" s="172" t="s">
        <v>440</v>
      </c>
      <c r="H98" s="336">
        <f>H96-H44</f>
        <v>2223026</v>
      </c>
      <c r="K98" s="172"/>
      <c r="P98" s="172"/>
      <c r="Q98" s="172"/>
      <c r="U98" s="172"/>
    </row>
    <row r="99" spans="1:24" ht="20.25" customHeight="1" thickTop="1" x14ac:dyDescent="0.3">
      <c r="A99" s="353" t="s">
        <v>441</v>
      </c>
      <c r="B99" s="353"/>
      <c r="C99" s="353"/>
      <c r="D99" s="353"/>
      <c r="E99" s="353"/>
      <c r="F99" s="353"/>
      <c r="G99" s="204" t="s">
        <v>442</v>
      </c>
      <c r="H99" s="337" t="s">
        <v>443</v>
      </c>
      <c r="K99" s="172"/>
      <c r="P99" s="172"/>
      <c r="Q99" s="172"/>
      <c r="U99" s="172"/>
    </row>
    <row r="100" spans="1:24" ht="45" customHeight="1" x14ac:dyDescent="0.3">
      <c r="A100" s="372" t="s">
        <v>69</v>
      </c>
      <c r="B100" s="372"/>
      <c r="C100" s="372"/>
      <c r="D100" s="372"/>
      <c r="E100" s="372"/>
      <c r="F100" s="372"/>
      <c r="G100" s="338"/>
      <c r="H100" s="194">
        <f>'[7]75% or more ESE Calc'!H91</f>
        <v>0</v>
      </c>
      <c r="K100" s="172"/>
      <c r="P100" s="172"/>
      <c r="Q100" s="172"/>
      <c r="U100" s="172"/>
    </row>
    <row r="101" spans="1:24" ht="36" customHeight="1" x14ac:dyDescent="0.3">
      <c r="A101" s="346"/>
      <c r="B101" s="346"/>
      <c r="C101" s="346"/>
      <c r="D101" s="346"/>
      <c r="E101" s="346"/>
      <c r="F101" s="346"/>
      <c r="G101" s="346"/>
      <c r="H101" s="346"/>
      <c r="I101" s="223"/>
      <c r="J101" s="259"/>
      <c r="K101" s="224"/>
      <c r="L101" s="223"/>
      <c r="M101" s="223"/>
      <c r="N101" s="223"/>
      <c r="O101" s="223"/>
      <c r="P101" s="225"/>
      <c r="Q101" s="223"/>
      <c r="R101" s="223"/>
      <c r="S101" s="223"/>
      <c r="T101" s="223"/>
      <c r="U101" s="223"/>
      <c r="X101" s="195"/>
    </row>
    <row r="102" spans="1:24" ht="41.25" customHeight="1" x14ac:dyDescent="0.3">
      <c r="A102" s="346" t="s">
        <v>6</v>
      </c>
      <c r="B102" s="346"/>
      <c r="C102" s="346"/>
      <c r="D102" s="346"/>
      <c r="E102" s="346"/>
      <c r="F102" s="346"/>
      <c r="G102" s="346"/>
      <c r="H102" s="346"/>
      <c r="I102" s="223"/>
      <c r="J102" s="223"/>
      <c r="K102" s="224"/>
      <c r="L102" s="223"/>
      <c r="M102" s="223"/>
      <c r="N102" s="223"/>
      <c r="O102" s="223"/>
      <c r="P102" s="225"/>
      <c r="Q102" s="223"/>
      <c r="R102" s="223"/>
      <c r="S102" s="223"/>
      <c r="T102" s="223"/>
      <c r="U102" s="223"/>
      <c r="X102" s="195"/>
    </row>
    <row r="103" spans="1:24" ht="42.75" customHeight="1" x14ac:dyDescent="0.3">
      <c r="A103" s="347" t="s">
        <v>399</v>
      </c>
      <c r="B103" s="347"/>
      <c r="C103" s="347"/>
      <c r="D103" s="347"/>
      <c r="E103" s="347"/>
      <c r="F103" s="347"/>
      <c r="G103" s="347"/>
      <c r="H103" s="347"/>
      <c r="K103" s="172"/>
      <c r="P103" s="172"/>
      <c r="Q103" s="172"/>
      <c r="U103" s="172"/>
    </row>
    <row r="104" spans="1:24" x14ac:dyDescent="0.3">
      <c r="A104" s="346" t="s">
        <v>444</v>
      </c>
      <c r="B104" s="346"/>
      <c r="C104" s="346"/>
      <c r="D104" s="346"/>
      <c r="E104" s="346"/>
      <c r="F104" s="346"/>
      <c r="G104" s="346"/>
      <c r="H104" s="346"/>
      <c r="I104" s="223"/>
      <c r="J104" s="223"/>
      <c r="K104" s="224"/>
      <c r="L104" s="223"/>
      <c r="M104" s="223"/>
      <c r="N104" s="223"/>
      <c r="O104" s="223"/>
      <c r="P104" s="225"/>
      <c r="Q104" s="225"/>
      <c r="R104" s="223"/>
      <c r="S104" s="223"/>
      <c r="T104" s="223"/>
      <c r="U104" s="226"/>
    </row>
    <row r="105" spans="1:24" ht="18.75" customHeight="1" x14ac:dyDescent="0.3">
      <c r="A105" s="346" t="s">
        <v>445</v>
      </c>
      <c r="B105" s="346"/>
      <c r="C105" s="346"/>
      <c r="D105" s="346"/>
      <c r="E105" s="346"/>
      <c r="F105" s="346"/>
      <c r="G105" s="346"/>
      <c r="H105" s="346"/>
      <c r="I105" s="223"/>
      <c r="J105" s="224"/>
      <c r="K105" s="227"/>
      <c r="L105" s="227"/>
      <c r="M105" s="227"/>
      <c r="N105" s="227"/>
      <c r="O105" s="223"/>
      <c r="P105" s="225"/>
      <c r="Q105" s="225"/>
      <c r="R105" s="223"/>
      <c r="S105" s="223"/>
      <c r="T105" s="223"/>
      <c r="U105" s="226"/>
    </row>
    <row r="106" spans="1:24" ht="18.75" customHeight="1" x14ac:dyDescent="0.3">
      <c r="A106" s="346" t="s">
        <v>446</v>
      </c>
      <c r="B106" s="346"/>
      <c r="C106" s="346"/>
      <c r="D106" s="346"/>
      <c r="E106" s="346"/>
      <c r="F106" s="346"/>
      <c r="G106" s="346"/>
      <c r="H106" s="346"/>
      <c r="I106" s="223"/>
      <c r="J106" s="223"/>
      <c r="K106" s="224"/>
      <c r="L106" s="223"/>
      <c r="M106" s="223"/>
      <c r="N106" s="223"/>
      <c r="O106" s="223"/>
      <c r="P106" s="225"/>
      <c r="Q106" s="225"/>
      <c r="R106" s="223"/>
      <c r="S106" s="223"/>
      <c r="T106" s="223"/>
      <c r="U106" s="223"/>
    </row>
    <row r="107" spans="1:24" ht="17.25" customHeight="1" x14ac:dyDescent="0.3">
      <c r="A107" s="346" t="s">
        <v>447</v>
      </c>
      <c r="B107" s="346"/>
      <c r="C107" s="346"/>
      <c r="D107" s="346"/>
      <c r="E107" s="346"/>
      <c r="F107" s="346"/>
      <c r="G107" s="346"/>
      <c r="H107" s="346"/>
      <c r="I107" s="223"/>
      <c r="J107" s="224"/>
      <c r="K107" s="227"/>
      <c r="L107" s="227"/>
      <c r="M107" s="227"/>
      <c r="N107" s="227"/>
      <c r="O107" s="223"/>
      <c r="P107" s="225"/>
      <c r="Q107" s="225"/>
      <c r="R107" s="223"/>
      <c r="S107" s="223"/>
      <c r="T107" s="223"/>
      <c r="U107" s="226"/>
    </row>
    <row r="108" spans="1:24" ht="18" customHeight="1" x14ac:dyDescent="0.3">
      <c r="A108" s="346" t="s">
        <v>448</v>
      </c>
      <c r="B108" s="346"/>
      <c r="C108" s="346"/>
      <c r="D108" s="346"/>
      <c r="E108" s="346"/>
      <c r="F108" s="346"/>
      <c r="G108" s="346"/>
      <c r="H108" s="346"/>
      <c r="I108" s="223"/>
      <c r="J108" s="223"/>
      <c r="K108" s="224"/>
      <c r="L108" s="223"/>
      <c r="M108" s="223"/>
      <c r="N108" s="223"/>
      <c r="O108" s="223"/>
      <c r="P108" s="225"/>
      <c r="Q108" s="225"/>
      <c r="R108" s="223"/>
      <c r="S108" s="223"/>
      <c r="T108" s="223"/>
      <c r="U108" s="223"/>
    </row>
    <row r="109" spans="1:24" ht="30.75" customHeight="1" x14ac:dyDescent="0.3">
      <c r="A109" s="347" t="s">
        <v>449</v>
      </c>
      <c r="B109" s="347"/>
      <c r="C109" s="347"/>
      <c r="D109" s="347"/>
      <c r="E109" s="347"/>
      <c r="F109" s="347"/>
      <c r="G109" s="347"/>
      <c r="H109" s="347"/>
      <c r="I109" s="228"/>
      <c r="J109" s="223"/>
      <c r="K109" s="224"/>
      <c r="L109" s="223"/>
      <c r="M109" s="223"/>
      <c r="N109" s="223"/>
      <c r="O109" s="223"/>
      <c r="P109" s="225"/>
      <c r="Q109" s="225"/>
      <c r="R109" s="223"/>
      <c r="S109" s="223"/>
      <c r="T109" s="223"/>
      <c r="U109" s="223"/>
    </row>
    <row r="110" spans="1:24" ht="33.75" customHeight="1" x14ac:dyDescent="0.3">
      <c r="A110" s="347" t="s">
        <v>450</v>
      </c>
      <c r="B110" s="347"/>
      <c r="C110" s="347"/>
      <c r="D110" s="347"/>
      <c r="E110" s="347"/>
      <c r="F110" s="347"/>
      <c r="G110" s="347"/>
      <c r="H110" s="347"/>
      <c r="I110" s="223"/>
      <c r="J110" s="223"/>
      <c r="K110" s="224"/>
      <c r="L110" s="223"/>
      <c r="M110" s="223"/>
      <c r="N110" s="223"/>
      <c r="O110" s="223"/>
      <c r="P110" s="225"/>
      <c r="Q110" s="225"/>
      <c r="R110" s="223"/>
      <c r="S110" s="223"/>
      <c r="T110" s="223"/>
      <c r="U110" s="223"/>
    </row>
    <row r="111" spans="1:24" ht="33.75" customHeight="1" x14ac:dyDescent="0.3">
      <c r="A111" s="347" t="s">
        <v>451</v>
      </c>
      <c r="B111" s="347"/>
      <c r="C111" s="347"/>
      <c r="D111" s="347"/>
      <c r="E111" s="347"/>
      <c r="F111" s="347"/>
      <c r="G111" s="347"/>
      <c r="H111" s="347"/>
      <c r="I111" s="223"/>
      <c r="J111" s="223"/>
      <c r="K111" s="224"/>
      <c r="L111" s="223"/>
      <c r="M111" s="223"/>
      <c r="N111" s="223"/>
      <c r="O111" s="223"/>
      <c r="P111" s="225"/>
      <c r="Q111" s="225"/>
      <c r="R111" s="223"/>
      <c r="S111" s="223"/>
      <c r="T111" s="223"/>
      <c r="U111" s="223"/>
    </row>
    <row r="112" spans="1:24" ht="15.75" customHeight="1" x14ac:dyDescent="0.3">
      <c r="A112" s="318" t="s">
        <v>452</v>
      </c>
      <c r="B112" s="318"/>
      <c r="C112" s="318"/>
      <c r="D112" s="318"/>
      <c r="E112" s="318"/>
      <c r="F112" s="318"/>
      <c r="G112" s="318"/>
      <c r="H112" s="318"/>
      <c r="I112" s="223"/>
      <c r="J112" s="223"/>
      <c r="K112" s="224"/>
      <c r="L112" s="223"/>
      <c r="M112" s="223"/>
      <c r="N112" s="223"/>
      <c r="O112" s="223"/>
      <c r="P112" s="225"/>
      <c r="Q112" s="225"/>
      <c r="R112" s="223"/>
      <c r="S112" s="223"/>
      <c r="T112" s="223"/>
      <c r="U112" s="223"/>
    </row>
    <row r="113" spans="1:21" ht="30.75" customHeight="1" x14ac:dyDescent="0.3">
      <c r="A113" s="347" t="s">
        <v>453</v>
      </c>
      <c r="B113" s="347"/>
      <c r="C113" s="347"/>
      <c r="D113" s="347"/>
      <c r="E113" s="347"/>
      <c r="F113" s="347"/>
      <c r="G113" s="347"/>
      <c r="H113" s="347"/>
      <c r="I113" s="223"/>
      <c r="J113" s="223"/>
      <c r="K113" s="224"/>
      <c r="L113" s="223"/>
      <c r="M113" s="223"/>
      <c r="N113" s="223"/>
      <c r="O113" s="223"/>
      <c r="P113" s="225"/>
      <c r="Q113" s="225"/>
      <c r="R113" s="223"/>
      <c r="S113" s="223"/>
      <c r="T113" s="223"/>
      <c r="U113" s="223"/>
    </row>
    <row r="114" spans="1:21" ht="30.75" customHeight="1" x14ac:dyDescent="0.3">
      <c r="A114" s="347" t="s">
        <v>454</v>
      </c>
      <c r="B114" s="347"/>
      <c r="C114" s="347"/>
      <c r="D114" s="347"/>
      <c r="E114" s="347"/>
      <c r="F114" s="347"/>
      <c r="G114" s="347"/>
      <c r="H114" s="347"/>
      <c r="I114" s="223"/>
      <c r="J114" s="223"/>
      <c r="K114" s="224"/>
      <c r="L114" s="223"/>
      <c r="M114" s="223"/>
      <c r="N114" s="223"/>
      <c r="O114" s="223"/>
      <c r="P114" s="225"/>
      <c r="Q114" s="225"/>
      <c r="R114" s="223"/>
      <c r="S114" s="223"/>
      <c r="T114" s="223"/>
      <c r="U114" s="223"/>
    </row>
    <row r="115" spans="1:21" ht="27.75" customHeight="1" x14ac:dyDescent="0.3">
      <c r="A115" s="367" t="s">
        <v>400</v>
      </c>
      <c r="B115" s="347"/>
      <c r="C115" s="347"/>
      <c r="D115" s="347"/>
      <c r="E115" s="347"/>
      <c r="F115" s="347"/>
      <c r="G115" s="347"/>
      <c r="H115" s="347"/>
      <c r="I115" s="223"/>
      <c r="J115" s="223"/>
      <c r="K115" s="224"/>
      <c r="L115" s="223"/>
      <c r="M115" s="223"/>
      <c r="N115" s="223"/>
      <c r="O115" s="223"/>
      <c r="P115" s="225"/>
      <c r="Q115" s="225"/>
      <c r="R115" s="223"/>
      <c r="S115" s="223"/>
      <c r="T115" s="223"/>
      <c r="U115" s="223"/>
    </row>
    <row r="116" spans="1:21" ht="62.25" customHeight="1" x14ac:dyDescent="0.35">
      <c r="A116" s="368" t="s">
        <v>401</v>
      </c>
      <c r="B116" s="368"/>
      <c r="C116" s="368"/>
      <c r="D116" s="368"/>
      <c r="E116" s="368"/>
      <c r="F116" s="368"/>
      <c r="G116" s="368"/>
      <c r="H116" s="368"/>
      <c r="I116" s="223"/>
      <c r="J116" s="223"/>
      <c r="K116" s="224"/>
      <c r="L116" s="223"/>
      <c r="M116" s="223"/>
      <c r="N116" s="223"/>
      <c r="O116" s="223"/>
      <c r="P116" s="225"/>
      <c r="Q116" s="225"/>
      <c r="R116" s="223"/>
      <c r="S116" s="223"/>
      <c r="T116" s="223"/>
      <c r="U116" s="223"/>
    </row>
    <row r="117" spans="1:21" ht="57.75" customHeight="1" x14ac:dyDescent="0.35">
      <c r="A117" s="368" t="s">
        <v>402</v>
      </c>
      <c r="B117" s="368"/>
      <c r="C117" s="368"/>
      <c r="D117" s="368"/>
      <c r="E117" s="368"/>
      <c r="F117" s="368"/>
      <c r="G117" s="368"/>
      <c r="H117" s="368"/>
      <c r="I117" s="223"/>
      <c r="J117" s="223"/>
      <c r="K117" s="224"/>
      <c r="L117" s="223"/>
      <c r="M117" s="223"/>
      <c r="N117" s="223"/>
      <c r="O117" s="223"/>
      <c r="P117" s="225"/>
      <c r="Q117" s="225"/>
      <c r="R117" s="223"/>
      <c r="S117" s="223"/>
      <c r="T117" s="223"/>
      <c r="U117" s="223"/>
    </row>
    <row r="118" spans="1:21" ht="41.25" customHeight="1" x14ac:dyDescent="0.3">
      <c r="A118" s="367" t="s">
        <v>403</v>
      </c>
      <c r="B118" s="367"/>
      <c r="C118" s="367"/>
      <c r="D118" s="367"/>
      <c r="E118" s="367"/>
      <c r="F118" s="367"/>
      <c r="G118" s="367"/>
      <c r="H118" s="367"/>
      <c r="I118" s="223"/>
      <c r="J118" s="223"/>
      <c r="K118" s="223"/>
      <c r="L118" s="223"/>
      <c r="M118" s="223"/>
      <c r="N118" s="223"/>
      <c r="O118" s="223"/>
      <c r="P118" s="225"/>
      <c r="Q118" s="225"/>
      <c r="R118" s="223"/>
      <c r="S118" s="223"/>
      <c r="T118" s="223"/>
      <c r="U118" s="223"/>
    </row>
    <row r="119" spans="1:21" ht="41.25" customHeight="1" x14ac:dyDescent="0.35">
      <c r="A119" s="368" t="s">
        <v>404</v>
      </c>
      <c r="B119" s="368"/>
      <c r="C119" s="368"/>
      <c r="D119" s="368"/>
      <c r="E119" s="368"/>
      <c r="F119" s="368"/>
      <c r="G119" s="368"/>
      <c r="H119" s="368"/>
      <c r="J119" s="173"/>
      <c r="K119" s="172"/>
      <c r="O119" s="174"/>
      <c r="Q119" s="172"/>
      <c r="U119" s="172"/>
    </row>
    <row r="120" spans="1:21" ht="30" customHeight="1" x14ac:dyDescent="0.35">
      <c r="A120" s="407" t="s">
        <v>405</v>
      </c>
      <c r="B120" s="407"/>
      <c r="C120" s="407"/>
      <c r="D120" s="407"/>
      <c r="E120" s="407"/>
      <c r="F120" s="407"/>
      <c r="G120" s="407"/>
      <c r="H120" s="407"/>
      <c r="U120" s="172"/>
    </row>
    <row r="121" spans="1:21" ht="17.25" customHeight="1" x14ac:dyDescent="0.35">
      <c r="A121" s="407"/>
      <c r="B121" s="407"/>
      <c r="C121" s="407"/>
      <c r="D121" s="407"/>
      <c r="E121" s="407"/>
      <c r="F121" s="407"/>
      <c r="G121" s="407"/>
      <c r="H121" s="407"/>
      <c r="U121" s="172"/>
    </row>
    <row r="122" spans="1:21" ht="15.75" customHeight="1" x14ac:dyDescent="0.3">
      <c r="A122" s="229"/>
      <c r="U122" s="172"/>
    </row>
    <row r="123" spans="1:21" ht="15.75" customHeight="1" x14ac:dyDescent="0.35">
      <c r="A123" s="229"/>
      <c r="B123" s="230"/>
      <c r="C123" s="230"/>
      <c r="D123" s="230"/>
      <c r="E123" s="230"/>
      <c r="F123" s="230"/>
      <c r="G123" s="230"/>
      <c r="H123" s="230"/>
      <c r="I123" s="230"/>
      <c r="J123" s="230"/>
      <c r="K123" s="230"/>
      <c r="L123" s="230"/>
      <c r="M123" s="230"/>
      <c r="N123" s="230"/>
      <c r="O123" s="230"/>
      <c r="P123" s="231"/>
      <c r="Q123" s="231"/>
      <c r="R123" s="230"/>
      <c r="S123" s="230"/>
      <c r="T123" s="230"/>
      <c r="U123" s="230"/>
    </row>
    <row r="124" spans="1:21" ht="15.75" customHeight="1" x14ac:dyDescent="0.3">
      <c r="A124" s="229"/>
      <c r="U124" s="172"/>
    </row>
    <row r="125" spans="1:21" ht="15.75" customHeight="1" x14ac:dyDescent="0.3">
      <c r="A125" s="229"/>
    </row>
    <row r="126" spans="1:21" ht="15.75" customHeight="1" x14ac:dyDescent="0.3">
      <c r="A126" s="229"/>
    </row>
    <row r="127" spans="1:21" ht="15.75" customHeight="1" x14ac:dyDescent="0.3">
      <c r="A127" s="229"/>
    </row>
    <row r="128" spans="1:21" ht="15.75" customHeight="1" x14ac:dyDescent="0.3">
      <c r="A128" s="229"/>
    </row>
    <row r="129" spans="1:1" ht="15.75" customHeight="1" x14ac:dyDescent="0.3">
      <c r="A129" s="229"/>
    </row>
    <row r="130" spans="1:1" ht="15.75" customHeight="1" x14ac:dyDescent="0.3">
      <c r="A130" s="229"/>
    </row>
    <row r="131" spans="1:1" ht="15.75" customHeight="1" x14ac:dyDescent="0.3">
      <c r="A131" s="229"/>
    </row>
    <row r="132" spans="1:1" ht="15.75" customHeight="1" x14ac:dyDescent="0.3">
      <c r="A132" s="229"/>
    </row>
    <row r="133" spans="1:1" x14ac:dyDescent="0.3">
      <c r="A133" s="229"/>
    </row>
    <row r="134" spans="1:1" x14ac:dyDescent="0.3">
      <c r="A134" s="229"/>
    </row>
    <row r="135" spans="1:1" x14ac:dyDescent="0.3">
      <c r="A135" s="229"/>
    </row>
    <row r="136" spans="1:1" x14ac:dyDescent="0.3">
      <c r="A136" s="229"/>
    </row>
    <row r="137" spans="1:1" x14ac:dyDescent="0.3">
      <c r="A137" s="229"/>
    </row>
    <row r="138" spans="1:1" x14ac:dyDescent="0.3">
      <c r="A138" s="229"/>
    </row>
    <row r="139" spans="1:1" x14ac:dyDescent="0.3">
      <c r="A139" s="229"/>
    </row>
    <row r="140" spans="1:1" x14ac:dyDescent="0.3">
      <c r="A140" s="229"/>
    </row>
    <row r="141" spans="1:1" x14ac:dyDescent="0.3">
      <c r="A141" s="229"/>
    </row>
    <row r="142" spans="1:1" x14ac:dyDescent="0.3">
      <c r="A142" s="229"/>
    </row>
    <row r="143" spans="1:1" x14ac:dyDescent="0.3">
      <c r="A143" s="229"/>
    </row>
    <row r="144" spans="1:1" x14ac:dyDescent="0.3">
      <c r="A144" s="229"/>
    </row>
    <row r="145" spans="1:1" x14ac:dyDescent="0.3">
      <c r="A145" s="229"/>
    </row>
    <row r="146" spans="1:1" x14ac:dyDescent="0.3">
      <c r="A146" s="229"/>
    </row>
    <row r="147" spans="1:1" x14ac:dyDescent="0.3">
      <c r="A147" s="229"/>
    </row>
    <row r="148" spans="1:1" x14ac:dyDescent="0.3">
      <c r="A148" s="229"/>
    </row>
    <row r="149" spans="1:1" x14ac:dyDescent="0.3">
      <c r="A149" s="229"/>
    </row>
    <row r="150" spans="1:1" x14ac:dyDescent="0.3">
      <c r="A150" s="229"/>
    </row>
    <row r="151" spans="1:1" x14ac:dyDescent="0.3">
      <c r="A151" s="229"/>
    </row>
    <row r="152" spans="1:1" x14ac:dyDescent="0.3">
      <c r="A152" s="229"/>
    </row>
    <row r="153" spans="1:1" x14ac:dyDescent="0.3">
      <c r="A153" s="229"/>
    </row>
    <row r="154" spans="1:1" x14ac:dyDescent="0.3">
      <c r="A154" s="229"/>
    </row>
    <row r="155" spans="1:1" x14ac:dyDescent="0.3">
      <c r="A155" s="229"/>
    </row>
    <row r="156" spans="1:1" x14ac:dyDescent="0.3">
      <c r="A156" s="229"/>
    </row>
    <row r="157" spans="1:1" x14ac:dyDescent="0.3">
      <c r="A157" s="229"/>
    </row>
    <row r="158" spans="1:1" x14ac:dyDescent="0.3">
      <c r="A158" s="229"/>
    </row>
    <row r="159" spans="1:1" x14ac:dyDescent="0.3">
      <c r="A159" s="229"/>
    </row>
    <row r="160" spans="1:1" x14ac:dyDescent="0.3">
      <c r="A160" s="229"/>
    </row>
    <row r="161" spans="1:1" x14ac:dyDescent="0.3">
      <c r="A161" s="229"/>
    </row>
    <row r="162" spans="1:1" x14ac:dyDescent="0.3">
      <c r="A162" s="229"/>
    </row>
    <row r="163" spans="1:1" x14ac:dyDescent="0.3">
      <c r="A163" s="229"/>
    </row>
    <row r="164" spans="1:1" x14ac:dyDescent="0.3">
      <c r="A164" s="229"/>
    </row>
    <row r="165" spans="1:1" x14ac:dyDescent="0.3">
      <c r="A165" s="229"/>
    </row>
    <row r="166" spans="1:1" x14ac:dyDescent="0.3">
      <c r="A166" s="229"/>
    </row>
    <row r="167" spans="1:1" x14ac:dyDescent="0.3">
      <c r="A167" s="229"/>
    </row>
    <row r="168" spans="1:1" x14ac:dyDescent="0.3">
      <c r="A168" s="229"/>
    </row>
    <row r="169" spans="1:1" x14ac:dyDescent="0.3">
      <c r="A169" s="229"/>
    </row>
    <row r="170" spans="1:1" x14ac:dyDescent="0.3">
      <c r="A170" s="229"/>
    </row>
    <row r="171" spans="1:1" x14ac:dyDescent="0.3">
      <c r="A171" s="229"/>
    </row>
    <row r="172" spans="1:1" x14ac:dyDescent="0.3">
      <c r="A172" s="229"/>
    </row>
    <row r="173" spans="1:1" x14ac:dyDescent="0.3">
      <c r="A173" s="229"/>
    </row>
    <row r="174" spans="1:1" x14ac:dyDescent="0.3">
      <c r="A174" s="229"/>
    </row>
    <row r="175" spans="1:1" x14ac:dyDescent="0.3">
      <c r="A175" s="229"/>
    </row>
    <row r="176" spans="1:1" x14ac:dyDescent="0.3">
      <c r="A176" s="229"/>
    </row>
    <row r="177" spans="1:1" x14ac:dyDescent="0.3">
      <c r="A177" s="229"/>
    </row>
    <row r="178" spans="1:1" x14ac:dyDescent="0.3">
      <c r="A178" s="229"/>
    </row>
    <row r="179" spans="1:1" x14ac:dyDescent="0.3">
      <c r="A179" s="229"/>
    </row>
  </sheetData>
  <mergeCells count="203">
    <mergeCell ref="A120:H120"/>
    <mergeCell ref="A121:H121"/>
    <mergeCell ref="A6:B6"/>
    <mergeCell ref="C6:D6"/>
    <mergeCell ref="E6:F6"/>
    <mergeCell ref="G6:H6"/>
    <mergeCell ref="E9:F9"/>
    <mergeCell ref="A10:B10"/>
    <mergeCell ref="C10:D10"/>
    <mergeCell ref="E10:F10"/>
    <mergeCell ref="A17:B17"/>
    <mergeCell ref="C17:D17"/>
    <mergeCell ref="E17:F17"/>
    <mergeCell ref="A18:B18"/>
    <mergeCell ref="C18:D18"/>
    <mergeCell ref="E18:F18"/>
    <mergeCell ref="A15:B15"/>
    <mergeCell ref="C15:D15"/>
    <mergeCell ref="E15:F15"/>
    <mergeCell ref="A16:B16"/>
    <mergeCell ref="C16:D16"/>
    <mergeCell ref="E16:F16"/>
    <mergeCell ref="B1:H1"/>
    <mergeCell ref="A3:H3"/>
    <mergeCell ref="A4:B4"/>
    <mergeCell ref="C4:D4"/>
    <mergeCell ref="A5:H5"/>
    <mergeCell ref="A13:B13"/>
    <mergeCell ref="C13:D13"/>
    <mergeCell ref="E13:F13"/>
    <mergeCell ref="A14:B14"/>
    <mergeCell ref="C14:D14"/>
    <mergeCell ref="E14:F14"/>
    <mergeCell ref="A11:B11"/>
    <mergeCell ref="C11:D11"/>
    <mergeCell ref="E11:F11"/>
    <mergeCell ref="A12:B12"/>
    <mergeCell ref="C12:D12"/>
    <mergeCell ref="E12:F12"/>
    <mergeCell ref="A21:B21"/>
    <mergeCell ref="C21:D21"/>
    <mergeCell ref="E21:F21"/>
    <mergeCell ref="A22:B22"/>
    <mergeCell ref="C22:D22"/>
    <mergeCell ref="E22:F22"/>
    <mergeCell ref="A19:B19"/>
    <mergeCell ref="C19:D19"/>
    <mergeCell ref="E19:F19"/>
    <mergeCell ref="A20:B20"/>
    <mergeCell ref="C20:D20"/>
    <mergeCell ref="E20:F20"/>
    <mergeCell ref="A25:B25"/>
    <mergeCell ref="C25:D25"/>
    <mergeCell ref="E25:F25"/>
    <mergeCell ref="A26:B26"/>
    <mergeCell ref="C26:D26"/>
    <mergeCell ref="E26:F26"/>
    <mergeCell ref="A23:B23"/>
    <mergeCell ref="C23:D23"/>
    <mergeCell ref="E23:F23"/>
    <mergeCell ref="A24:B24"/>
    <mergeCell ref="C24:D24"/>
    <mergeCell ref="E24:F24"/>
    <mergeCell ref="A29:G29"/>
    <mergeCell ref="A30:B30"/>
    <mergeCell ref="C30:G30"/>
    <mergeCell ref="A31:B31"/>
    <mergeCell ref="C31:G31"/>
    <mergeCell ref="A32:B32"/>
    <mergeCell ref="C32:G32"/>
    <mergeCell ref="A27:B27"/>
    <mergeCell ref="C27:D27"/>
    <mergeCell ref="E27:F27"/>
    <mergeCell ref="A28:B28"/>
    <mergeCell ref="C28:D28"/>
    <mergeCell ref="E28:F28"/>
    <mergeCell ref="A41:E41"/>
    <mergeCell ref="A37:B37"/>
    <mergeCell ref="C37:G37"/>
    <mergeCell ref="A38:D38"/>
    <mergeCell ref="F38:G38"/>
    <mergeCell ref="A39:D39"/>
    <mergeCell ref="F39:G39"/>
    <mergeCell ref="A33:B33"/>
    <mergeCell ref="C33:G33"/>
    <mergeCell ref="A34:B34"/>
    <mergeCell ref="C34:G34"/>
    <mergeCell ref="A35:B35"/>
    <mergeCell ref="C35:G35"/>
    <mergeCell ref="A56:H56"/>
    <mergeCell ref="A42:C42"/>
    <mergeCell ref="A43:C43"/>
    <mergeCell ref="A44:C44"/>
    <mergeCell ref="A45:B45"/>
    <mergeCell ref="C45:D45"/>
    <mergeCell ref="A46:B54"/>
    <mergeCell ref="C46:D46"/>
    <mergeCell ref="C47:D47"/>
    <mergeCell ref="C48:D48"/>
    <mergeCell ref="C49:D49"/>
    <mergeCell ref="C50:D50"/>
    <mergeCell ref="C51:D51"/>
    <mergeCell ref="C52:D52"/>
    <mergeCell ref="C53:D53"/>
    <mergeCell ref="C54:D54"/>
    <mergeCell ref="A55:B55"/>
    <mergeCell ref="C55:D55"/>
    <mergeCell ref="E55:G55"/>
    <mergeCell ref="A77:C77"/>
    <mergeCell ref="A78:C78"/>
    <mergeCell ref="A79:H79"/>
    <mergeCell ref="A80:B80"/>
    <mergeCell ref="C80:D80"/>
    <mergeCell ref="A57:B57"/>
    <mergeCell ref="G57:H57"/>
    <mergeCell ref="G58:H58"/>
    <mergeCell ref="A59:H59"/>
    <mergeCell ref="A60:B60"/>
    <mergeCell ref="G60:H60"/>
    <mergeCell ref="G61:H61"/>
    <mergeCell ref="A72:C72"/>
    <mergeCell ref="A73:C73"/>
    <mergeCell ref="A74:C74"/>
    <mergeCell ref="A75:C75"/>
    <mergeCell ref="A62:H62"/>
    <mergeCell ref="A63:B63"/>
    <mergeCell ref="E63:F63"/>
    <mergeCell ref="G63:H63"/>
    <mergeCell ref="A65:H65"/>
    <mergeCell ref="A66:B66"/>
    <mergeCell ref="E66:F66"/>
    <mergeCell ref="G66:H66"/>
    <mergeCell ref="G67:H67"/>
    <mergeCell ref="A68:H68"/>
    <mergeCell ref="A69:B69"/>
    <mergeCell ref="E69:F69"/>
    <mergeCell ref="A115:H115"/>
    <mergeCell ref="A116:H116"/>
    <mergeCell ref="A117:H117"/>
    <mergeCell ref="A118:H118"/>
    <mergeCell ref="A119:H119"/>
    <mergeCell ref="A108:H108"/>
    <mergeCell ref="A109:H109"/>
    <mergeCell ref="A110:H110"/>
    <mergeCell ref="A111:H111"/>
    <mergeCell ref="A113:H113"/>
    <mergeCell ref="A114:H114"/>
    <mergeCell ref="U5:V5"/>
    <mergeCell ref="U6:V6"/>
    <mergeCell ref="U7:V7"/>
    <mergeCell ref="U9:V9"/>
    <mergeCell ref="U10:V10"/>
    <mergeCell ref="U11:V11"/>
    <mergeCell ref="U12:V12"/>
    <mergeCell ref="U13:V13"/>
    <mergeCell ref="U14:V14"/>
    <mergeCell ref="U15:V15"/>
    <mergeCell ref="U16:V16"/>
    <mergeCell ref="U17:V17"/>
    <mergeCell ref="U18:V18"/>
    <mergeCell ref="U19:V19"/>
    <mergeCell ref="U20:V20"/>
    <mergeCell ref="U21:V21"/>
    <mergeCell ref="A101:H101"/>
    <mergeCell ref="A102:H102"/>
    <mergeCell ref="A91:B91"/>
    <mergeCell ref="C91:D91"/>
    <mergeCell ref="A92:B92"/>
    <mergeCell ref="C92:D92"/>
    <mergeCell ref="A93:B93"/>
    <mergeCell ref="C93:D93"/>
    <mergeCell ref="A94:B94"/>
    <mergeCell ref="G69:H69"/>
    <mergeCell ref="G70:H70"/>
    <mergeCell ref="E86:H86"/>
    <mergeCell ref="A89:C89"/>
    <mergeCell ref="A95:C95"/>
    <mergeCell ref="A98:C98"/>
    <mergeCell ref="C83:D83"/>
    <mergeCell ref="C84:G84"/>
    <mergeCell ref="E80:H80"/>
    <mergeCell ref="C81:D81"/>
    <mergeCell ref="C82:D82"/>
    <mergeCell ref="A107:H107"/>
    <mergeCell ref="A103:H103"/>
    <mergeCell ref="A104:H104"/>
    <mergeCell ref="A105:H105"/>
    <mergeCell ref="A106:H106"/>
    <mergeCell ref="A85:H85"/>
    <mergeCell ref="E89:H89"/>
    <mergeCell ref="A90:B90"/>
    <mergeCell ref="C90:D90"/>
    <mergeCell ref="E90:F90"/>
    <mergeCell ref="A86:C86"/>
    <mergeCell ref="E95:G95"/>
    <mergeCell ref="A96:G96"/>
    <mergeCell ref="D98:F98"/>
    <mergeCell ref="A87:B87"/>
    <mergeCell ref="C87:E87"/>
    <mergeCell ref="A88:B88"/>
    <mergeCell ref="C88:E88"/>
    <mergeCell ref="A99:F99"/>
    <mergeCell ref="A100:F100"/>
  </mergeCells>
  <printOptions horizontalCentered="1"/>
  <pageMargins left="0" right="0" top="0.67" bottom="0.45" header="0.25" footer="0.196850393700787"/>
  <pageSetup scale="60" orientation="portrait" r:id="rId1"/>
  <headerFooter alignWithMargins="0">
    <oddHeader xml:space="preserve">&amp;L&amp;8
</oddHeader>
    <oddFooter>&amp;L&amp;8 2018-19 Revenue Estimate Worksheet&amp;C&amp;8&amp;P</oddFooter>
  </headerFooter>
  <rowBreaks count="2" manualBreakCount="2">
    <brk id="71" max="7" man="1"/>
    <brk id="118" max="7"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774"/>
  <sheetViews>
    <sheetView tabSelected="1" workbookViewId="0">
      <pane ySplit="6" topLeftCell="A157" activePane="bottomLeft" state="frozen"/>
      <selection activeCell="E14" sqref="E14:F14"/>
      <selection pane="bottomLeft" activeCell="E605" sqref="E605"/>
    </sheetView>
  </sheetViews>
  <sheetFormatPr defaultColWidth="8.7265625" defaultRowHeight="12.5" x14ac:dyDescent="0.25"/>
  <cols>
    <col min="1" max="1" width="5.54296875" style="3" customWidth="1"/>
    <col min="2" max="2" width="5.81640625" style="46" hidden="1" customWidth="1"/>
    <col min="3" max="3" width="5.1796875" style="3" customWidth="1"/>
    <col min="4" max="4" width="45.81640625" style="3" customWidth="1"/>
    <col min="5" max="8" width="13.81640625" style="3" customWidth="1"/>
    <col min="9" max="9" width="14.1796875" style="3" customWidth="1"/>
    <col min="10" max="10" width="2.81640625" style="3" customWidth="1"/>
    <col min="11" max="11" width="11" style="3" customWidth="1"/>
    <col min="12" max="12" width="16.54296875" style="3" customWidth="1"/>
    <col min="13" max="13" width="8.7265625" style="3"/>
    <col min="14" max="14" width="17.7265625" style="3" customWidth="1"/>
    <col min="15" max="16384" width="8.7265625" style="3"/>
  </cols>
  <sheetData>
    <row r="1" spans="1:14" s="45" customFormat="1" ht="28.5" customHeight="1" x14ac:dyDescent="0.55000000000000004">
      <c r="A1" s="419" t="s">
        <v>409</v>
      </c>
      <c r="B1" s="419"/>
      <c r="C1" s="419"/>
      <c r="D1" s="419"/>
      <c r="E1" s="419"/>
      <c r="F1" s="419"/>
      <c r="G1" s="419"/>
      <c r="H1" s="419"/>
      <c r="I1" s="419"/>
    </row>
    <row r="2" spans="1:14" ht="23.15" customHeight="1" x14ac:dyDescent="0.45">
      <c r="A2" s="421" t="str">
        <f>CONCATENATE('1-Revenue Estimate'!C2, " ", '1-Revenue Estimate'!D2)</f>
        <v xml:space="preserve">5060 SunFire High School 
 </v>
      </c>
      <c r="B2" s="421"/>
      <c r="C2" s="421"/>
      <c r="D2" s="421"/>
      <c r="E2" s="421"/>
      <c r="F2" s="421"/>
      <c r="G2" s="421"/>
      <c r="H2" s="421"/>
      <c r="I2" s="421"/>
    </row>
    <row r="3" spans="1:14" ht="17.149999999999999" customHeight="1" x14ac:dyDescent="0.55000000000000004">
      <c r="A3" s="45"/>
      <c r="B3" s="96"/>
      <c r="C3" s="97"/>
      <c r="D3" s="98"/>
      <c r="G3" s="420" t="s">
        <v>195</v>
      </c>
      <c r="H3" s="420"/>
      <c r="I3" s="234">
        <f>SUM('1-Revenue Estimate'!C12:D27)</f>
        <v>306.38</v>
      </c>
      <c r="J3" s="233" t="s">
        <v>414</v>
      </c>
    </row>
    <row r="4" spans="1:14" ht="13" customHeight="1" thickBot="1" x14ac:dyDescent="0.3">
      <c r="K4" s="47"/>
    </row>
    <row r="5" spans="1:14" ht="24" thickBot="1" x14ac:dyDescent="0.6">
      <c r="A5" s="416" t="s">
        <v>137</v>
      </c>
      <c r="B5" s="417"/>
      <c r="C5" s="417"/>
      <c r="D5" s="417"/>
      <c r="E5" s="417"/>
      <c r="F5" s="417"/>
      <c r="G5" s="417"/>
      <c r="H5" s="417"/>
      <c r="I5" s="418"/>
    </row>
    <row r="6" spans="1:14" ht="14.5" x14ac:dyDescent="0.35">
      <c r="A6" s="88" t="s">
        <v>88</v>
      </c>
      <c r="B6" s="89"/>
      <c r="C6" s="88" t="s">
        <v>89</v>
      </c>
      <c r="D6" s="90" t="s">
        <v>194</v>
      </c>
      <c r="E6" s="88" t="s">
        <v>245</v>
      </c>
      <c r="F6" s="88" t="s">
        <v>246</v>
      </c>
      <c r="G6" s="88" t="s">
        <v>247</v>
      </c>
      <c r="H6" s="88" t="s">
        <v>248</v>
      </c>
      <c r="I6" s="88" t="s">
        <v>249</v>
      </c>
    </row>
    <row r="7" spans="1:14" s="51" customFormat="1" ht="9.65" customHeight="1" x14ac:dyDescent="0.45">
      <c r="A7" s="48"/>
      <c r="B7" s="49"/>
      <c r="C7" s="50"/>
      <c r="D7" s="50"/>
      <c r="E7" s="50"/>
      <c r="F7" s="50"/>
      <c r="G7" s="50"/>
      <c r="H7" s="50"/>
      <c r="I7" s="50"/>
    </row>
    <row r="8" spans="1:14" ht="12.65" customHeight="1" x14ac:dyDescent="0.3">
      <c r="B8" s="46" t="str">
        <f>LEFT(C8,3)</f>
        <v>331</v>
      </c>
      <c r="C8" s="52">
        <v>3310</v>
      </c>
      <c r="D8" s="53" t="s">
        <v>142</v>
      </c>
      <c r="E8" s="54">
        <f>+'1-Revenue Estimate'!H96-'1-Revenue Estimate'!H84-'1-Revenue Estimate'!H87</f>
        <v>1929082</v>
      </c>
      <c r="F8" s="84">
        <v>0</v>
      </c>
      <c r="G8" s="84">
        <v>0</v>
      </c>
      <c r="H8" s="84">
        <v>0</v>
      </c>
      <c r="I8" s="54">
        <f>SUM(E8:H8)</f>
        <v>1929082</v>
      </c>
      <c r="J8" s="415"/>
      <c r="K8" s="415"/>
      <c r="L8" s="415"/>
      <c r="M8" s="415"/>
      <c r="N8" s="415"/>
    </row>
    <row r="9" spans="1:14" x14ac:dyDescent="0.25">
      <c r="B9" s="46" t="str">
        <f t="shared" ref="B9:B28" si="0">LEFT(C9,2)</f>
        <v>32</v>
      </c>
      <c r="C9" s="56">
        <v>3240</v>
      </c>
      <c r="D9" s="57" t="s">
        <v>90</v>
      </c>
      <c r="E9" s="262">
        <v>0</v>
      </c>
      <c r="F9" s="262">
        <v>0</v>
      </c>
      <c r="G9" s="262">
        <v>0</v>
      </c>
      <c r="H9" s="262">
        <v>0</v>
      </c>
      <c r="I9" s="54">
        <f t="shared" ref="I9:I28" si="1">SUM(E9:H9)</f>
        <v>0</v>
      </c>
      <c r="J9" s="55"/>
    </row>
    <row r="10" spans="1:14" x14ac:dyDescent="0.25">
      <c r="B10" s="46" t="str">
        <f t="shared" si="0"/>
        <v>32</v>
      </c>
      <c r="C10" s="56">
        <v>3230</v>
      </c>
      <c r="D10" s="57" t="s">
        <v>79</v>
      </c>
      <c r="E10" s="262">
        <v>0</v>
      </c>
      <c r="F10" s="262">
        <v>0</v>
      </c>
      <c r="G10" s="262">
        <v>0</v>
      </c>
      <c r="H10" s="262">
        <v>0</v>
      </c>
      <c r="I10" s="54">
        <f t="shared" si="1"/>
        <v>0</v>
      </c>
      <c r="J10" s="55"/>
    </row>
    <row r="11" spans="1:14" ht="12.65" customHeight="1" x14ac:dyDescent="0.25">
      <c r="B11" s="46" t="str">
        <f t="shared" si="0"/>
        <v>32</v>
      </c>
      <c r="C11" s="58">
        <v>3260</v>
      </c>
      <c r="D11" s="59" t="s">
        <v>138</v>
      </c>
      <c r="E11" s="262">
        <v>0</v>
      </c>
      <c r="F11" s="262">
        <v>205000</v>
      </c>
      <c r="G11" s="262">
        <v>0</v>
      </c>
      <c r="H11" s="262">
        <v>0</v>
      </c>
      <c r="I11" s="54">
        <f t="shared" si="1"/>
        <v>205000</v>
      </c>
      <c r="J11" s="55"/>
    </row>
    <row r="12" spans="1:14" ht="12.65" customHeight="1" x14ac:dyDescent="0.25">
      <c r="B12" s="46" t="str">
        <f t="shared" si="0"/>
        <v>32</v>
      </c>
      <c r="C12" s="58">
        <v>3299</v>
      </c>
      <c r="D12" s="57" t="s">
        <v>96</v>
      </c>
      <c r="E12" s="262">
        <v>0</v>
      </c>
      <c r="F12" s="262">
        <v>0</v>
      </c>
      <c r="G12" s="262">
        <v>0</v>
      </c>
      <c r="H12" s="262">
        <v>0</v>
      </c>
      <c r="I12" s="54">
        <f t="shared" si="1"/>
        <v>0</v>
      </c>
      <c r="J12" s="55"/>
    </row>
    <row r="13" spans="1:14" ht="12.65" hidden="1" customHeight="1" x14ac:dyDescent="0.25">
      <c r="B13" s="46" t="str">
        <f t="shared" si="0"/>
        <v>33</v>
      </c>
      <c r="C13" s="58">
        <v>3334</v>
      </c>
      <c r="D13" s="57" t="s">
        <v>185</v>
      </c>
      <c r="E13" s="61"/>
      <c r="F13" s="84">
        <v>0</v>
      </c>
      <c r="G13" s="84">
        <v>0</v>
      </c>
      <c r="H13" s="84">
        <v>0</v>
      </c>
      <c r="I13" s="54">
        <f t="shared" ref="I13" si="2">SUM(E13:H13)</f>
        <v>0</v>
      </c>
      <c r="J13" s="55"/>
    </row>
    <row r="14" spans="1:14" ht="12.65" customHeight="1" x14ac:dyDescent="0.25">
      <c r="B14" s="46" t="str">
        <f t="shared" si="0"/>
        <v>33</v>
      </c>
      <c r="C14" s="60">
        <v>3355</v>
      </c>
      <c r="D14" s="57" t="s">
        <v>97</v>
      </c>
      <c r="E14" s="61">
        <f>+'1-Revenue Estimate'!H84</f>
        <v>282774</v>
      </c>
      <c r="F14" s="84">
        <v>0</v>
      </c>
      <c r="G14" s="84">
        <v>0</v>
      </c>
      <c r="H14" s="84">
        <v>0</v>
      </c>
      <c r="I14" s="54">
        <f t="shared" si="1"/>
        <v>282774</v>
      </c>
      <c r="J14" s="55"/>
    </row>
    <row r="15" spans="1:14" ht="12.65" customHeight="1" x14ac:dyDescent="0.25">
      <c r="B15" s="46" t="str">
        <f t="shared" si="0"/>
        <v>33</v>
      </c>
      <c r="C15" s="58">
        <v>3361</v>
      </c>
      <c r="D15" s="62" t="s">
        <v>139</v>
      </c>
      <c r="E15" s="262">
        <v>0</v>
      </c>
      <c r="F15" s="262">
        <v>0</v>
      </c>
      <c r="G15" s="262">
        <v>0</v>
      </c>
      <c r="H15" s="262">
        <v>0</v>
      </c>
      <c r="I15" s="54">
        <f t="shared" si="1"/>
        <v>0</v>
      </c>
      <c r="J15" s="55"/>
    </row>
    <row r="16" spans="1:14" ht="12.65" customHeight="1" x14ac:dyDescent="0.25">
      <c r="B16" s="46" t="str">
        <f t="shared" si="0"/>
        <v>33</v>
      </c>
      <c r="C16" s="63">
        <v>3397</v>
      </c>
      <c r="D16" s="59" t="s">
        <v>140</v>
      </c>
      <c r="E16" s="262">
        <v>0</v>
      </c>
      <c r="F16" s="262">
        <v>0</v>
      </c>
      <c r="G16" s="262">
        <v>0</v>
      </c>
      <c r="H16" s="262">
        <v>189000</v>
      </c>
      <c r="I16" s="54">
        <f t="shared" si="1"/>
        <v>189000</v>
      </c>
      <c r="J16" s="55"/>
      <c r="K16" s="55"/>
      <c r="L16" s="55"/>
      <c r="M16" s="55"/>
      <c r="N16" s="55"/>
    </row>
    <row r="17" spans="1:12" ht="12.65" customHeight="1" x14ac:dyDescent="0.25">
      <c r="B17" s="46" t="str">
        <f t="shared" si="0"/>
        <v>33</v>
      </c>
      <c r="C17" s="64">
        <v>3399</v>
      </c>
      <c r="D17" s="62" t="s">
        <v>143</v>
      </c>
      <c r="E17" s="262">
        <v>0</v>
      </c>
      <c r="F17" s="262">
        <v>0</v>
      </c>
      <c r="G17" s="262">
        <v>0</v>
      </c>
      <c r="H17" s="262">
        <v>0</v>
      </c>
      <c r="I17" s="54">
        <f t="shared" si="1"/>
        <v>0</v>
      </c>
    </row>
    <row r="18" spans="1:12" ht="12.65" customHeight="1" x14ac:dyDescent="0.35">
      <c r="B18" s="46" t="str">
        <f t="shared" si="0"/>
        <v>34</v>
      </c>
      <c r="C18" s="64">
        <v>3413</v>
      </c>
      <c r="D18" s="62" t="s">
        <v>186</v>
      </c>
      <c r="E18" s="262">
        <v>0</v>
      </c>
      <c r="F18" s="262">
        <v>0</v>
      </c>
      <c r="G18" s="262">
        <v>0</v>
      </c>
      <c r="H18" s="262">
        <v>0</v>
      </c>
      <c r="I18" s="54">
        <f t="shared" si="1"/>
        <v>0</v>
      </c>
      <c r="J18" s="65"/>
    </row>
    <row r="19" spans="1:12" ht="12.65" customHeight="1" x14ac:dyDescent="0.25">
      <c r="B19" s="46" t="str">
        <f t="shared" si="0"/>
        <v>34</v>
      </c>
      <c r="C19" s="58">
        <v>3430</v>
      </c>
      <c r="D19" s="57" t="s">
        <v>184</v>
      </c>
      <c r="E19" s="262">
        <v>500</v>
      </c>
      <c r="F19" s="262">
        <v>0</v>
      </c>
      <c r="G19" s="262">
        <v>0</v>
      </c>
      <c r="H19" s="262">
        <v>0</v>
      </c>
      <c r="I19" s="54">
        <f t="shared" si="1"/>
        <v>500</v>
      </c>
      <c r="L19" s="55"/>
    </row>
    <row r="20" spans="1:12" ht="12.65" customHeight="1" x14ac:dyDescent="0.35">
      <c r="B20" s="46" t="str">
        <f t="shared" si="0"/>
        <v>34</v>
      </c>
      <c r="C20" s="58">
        <v>3440</v>
      </c>
      <c r="D20" s="57" t="s">
        <v>98</v>
      </c>
      <c r="E20" s="262">
        <v>0</v>
      </c>
      <c r="F20" s="262">
        <v>0</v>
      </c>
      <c r="G20" s="262">
        <v>0</v>
      </c>
      <c r="H20" s="262">
        <v>0</v>
      </c>
      <c r="I20" s="54">
        <f t="shared" si="1"/>
        <v>0</v>
      </c>
      <c r="J20" s="65"/>
    </row>
    <row r="21" spans="1:12" x14ac:dyDescent="0.25">
      <c r="A21" s="66"/>
      <c r="B21" s="46" t="str">
        <f t="shared" si="0"/>
        <v>34</v>
      </c>
      <c r="C21" s="58">
        <v>3450</v>
      </c>
      <c r="D21" s="62" t="s">
        <v>141</v>
      </c>
      <c r="E21" s="262">
        <v>0</v>
      </c>
      <c r="F21" s="262">
        <v>0</v>
      </c>
      <c r="G21" s="262">
        <v>0</v>
      </c>
      <c r="H21" s="262">
        <v>0</v>
      </c>
      <c r="I21" s="54">
        <f t="shared" si="1"/>
        <v>0</v>
      </c>
    </row>
    <row r="22" spans="1:12" ht="12.65" customHeight="1" x14ac:dyDescent="0.35">
      <c r="B22" s="46" t="str">
        <f t="shared" si="0"/>
        <v>34</v>
      </c>
      <c r="C22" s="58">
        <v>3473</v>
      </c>
      <c r="D22" s="57" t="s">
        <v>99</v>
      </c>
      <c r="E22" s="262">
        <v>0</v>
      </c>
      <c r="F22" s="262">
        <v>0</v>
      </c>
      <c r="G22" s="262">
        <v>0</v>
      </c>
      <c r="H22" s="262">
        <v>0</v>
      </c>
      <c r="I22" s="54">
        <f t="shared" si="1"/>
        <v>0</v>
      </c>
      <c r="J22" s="65"/>
    </row>
    <row r="23" spans="1:12" ht="12.65" customHeight="1" x14ac:dyDescent="0.25">
      <c r="B23" s="46" t="str">
        <f t="shared" si="0"/>
        <v>34</v>
      </c>
      <c r="C23" s="64">
        <v>3480</v>
      </c>
      <c r="D23" s="62" t="s">
        <v>196</v>
      </c>
      <c r="E23" s="61">
        <f>SUM(L24:L29)</f>
        <v>0</v>
      </c>
      <c r="F23" s="84">
        <v>0</v>
      </c>
      <c r="G23" s="84">
        <v>0</v>
      </c>
      <c r="H23" s="84">
        <v>0</v>
      </c>
      <c r="I23" s="54">
        <f t="shared" si="1"/>
        <v>0</v>
      </c>
      <c r="K23" s="86" t="s">
        <v>188</v>
      </c>
      <c r="L23" s="87"/>
    </row>
    <row r="24" spans="1:12" ht="12.65" customHeight="1" x14ac:dyDescent="0.35">
      <c r="B24" s="46" t="str">
        <f t="shared" si="0"/>
        <v>34</v>
      </c>
      <c r="C24" s="58">
        <v>3492</v>
      </c>
      <c r="D24" s="57" t="s">
        <v>100</v>
      </c>
      <c r="E24" s="61">
        <f>+'1-Revenue Estimate'!H87</f>
        <v>106200</v>
      </c>
      <c r="F24" s="84">
        <v>0</v>
      </c>
      <c r="G24" s="84">
        <v>0</v>
      </c>
      <c r="H24" s="84">
        <v>0</v>
      </c>
      <c r="I24" s="54">
        <f t="shared" si="1"/>
        <v>106200</v>
      </c>
      <c r="J24" s="65"/>
      <c r="K24" s="67" t="s">
        <v>192</v>
      </c>
      <c r="L24" s="263">
        <v>0</v>
      </c>
    </row>
    <row r="25" spans="1:12" ht="12.65" customHeight="1" x14ac:dyDescent="0.25">
      <c r="B25" s="46" t="str">
        <f t="shared" si="0"/>
        <v>34</v>
      </c>
      <c r="C25" s="58">
        <v>3495</v>
      </c>
      <c r="D25" s="57" t="s">
        <v>101</v>
      </c>
      <c r="E25" s="262">
        <v>0</v>
      </c>
      <c r="F25" s="262">
        <v>0</v>
      </c>
      <c r="G25" s="262">
        <v>0</v>
      </c>
      <c r="H25" s="262">
        <v>0</v>
      </c>
      <c r="I25" s="54">
        <f t="shared" si="1"/>
        <v>0</v>
      </c>
      <c r="K25" s="67" t="s">
        <v>193</v>
      </c>
      <c r="L25" s="263">
        <v>0</v>
      </c>
    </row>
    <row r="26" spans="1:12" ht="12.65" customHeight="1" x14ac:dyDescent="0.35">
      <c r="B26" s="46">
        <v>34</v>
      </c>
      <c r="C26" s="68"/>
      <c r="D26" s="69" t="s">
        <v>187</v>
      </c>
      <c r="E26" s="262">
        <v>0</v>
      </c>
      <c r="F26" s="262">
        <v>0</v>
      </c>
      <c r="G26" s="262">
        <v>0</v>
      </c>
      <c r="H26" s="262">
        <v>0</v>
      </c>
      <c r="I26" s="54">
        <f t="shared" si="1"/>
        <v>0</v>
      </c>
      <c r="J26" s="65"/>
      <c r="K26" s="67" t="s">
        <v>189</v>
      </c>
      <c r="L26" s="263">
        <v>0</v>
      </c>
    </row>
    <row r="27" spans="1:12" ht="12.65" customHeight="1" x14ac:dyDescent="0.25">
      <c r="B27" s="46">
        <v>34</v>
      </c>
      <c r="C27" s="68"/>
      <c r="D27" s="69" t="s">
        <v>81</v>
      </c>
      <c r="E27" s="262">
        <v>0</v>
      </c>
      <c r="F27" s="262"/>
      <c r="G27" s="262">
        <v>0</v>
      </c>
      <c r="H27" s="262">
        <v>0</v>
      </c>
      <c r="I27" s="54">
        <f t="shared" si="1"/>
        <v>0</v>
      </c>
      <c r="K27" s="67" t="s">
        <v>190</v>
      </c>
      <c r="L27" s="263">
        <v>0</v>
      </c>
    </row>
    <row r="28" spans="1:12" ht="12.65" customHeight="1" thickBot="1" x14ac:dyDescent="0.3">
      <c r="B28" s="46" t="str">
        <f t="shared" si="0"/>
        <v>37</v>
      </c>
      <c r="C28" s="58">
        <v>3720</v>
      </c>
      <c r="D28" s="70" t="s">
        <v>80</v>
      </c>
      <c r="E28" s="262">
        <v>0</v>
      </c>
      <c r="F28" s="262">
        <v>0</v>
      </c>
      <c r="G28" s="262">
        <v>0</v>
      </c>
      <c r="H28" s="262">
        <v>0</v>
      </c>
      <c r="I28" s="54">
        <f t="shared" si="1"/>
        <v>0</v>
      </c>
      <c r="K28" s="67" t="s">
        <v>191</v>
      </c>
      <c r="L28" s="263">
        <v>0</v>
      </c>
    </row>
    <row r="29" spans="1:12" ht="21" customHeight="1" thickBot="1" x14ac:dyDescent="0.4">
      <c r="D29" s="71" t="s">
        <v>82</v>
      </c>
      <c r="E29" s="72">
        <f>SUM(E8:E28)</f>
        <v>2318556</v>
      </c>
      <c r="F29" s="72">
        <f>SUM(F8:F28)</f>
        <v>205000</v>
      </c>
      <c r="G29" s="72">
        <f>SUM(G8:G28)</f>
        <v>0</v>
      </c>
      <c r="H29" s="72">
        <f>SUM(H8:H28)</f>
        <v>189000</v>
      </c>
      <c r="I29" s="72">
        <f>SUM(I8:I28)</f>
        <v>2712556</v>
      </c>
      <c r="K29" s="73" t="s">
        <v>81</v>
      </c>
      <c r="L29" s="264">
        <v>0</v>
      </c>
    </row>
    <row r="30" spans="1:12" ht="13" thickBot="1" x14ac:dyDescent="0.3"/>
    <row r="31" spans="1:12" ht="24" thickBot="1" x14ac:dyDescent="0.6">
      <c r="A31" s="416" t="s">
        <v>91</v>
      </c>
      <c r="B31" s="417"/>
      <c r="C31" s="417"/>
      <c r="D31" s="417"/>
      <c r="E31" s="417"/>
      <c r="F31" s="417"/>
      <c r="G31" s="417"/>
      <c r="H31" s="417"/>
      <c r="I31" s="418"/>
    </row>
    <row r="32" spans="1:12" ht="18.5" x14ac:dyDescent="0.45">
      <c r="A32" s="91" t="s">
        <v>144</v>
      </c>
      <c r="B32" s="92"/>
      <c r="C32" s="93"/>
      <c r="D32" s="93"/>
      <c r="E32" s="94"/>
      <c r="F32" s="94"/>
      <c r="G32" s="94"/>
      <c r="H32" s="94"/>
      <c r="I32" s="94"/>
    </row>
    <row r="33" spans="1:9" ht="12.65" customHeight="1" x14ac:dyDescent="0.25">
      <c r="A33" s="75">
        <v>5100</v>
      </c>
      <c r="B33" s="46" t="str">
        <f>LEFT(C33,1)</f>
        <v>1</v>
      </c>
      <c r="C33" s="75">
        <v>110</v>
      </c>
      <c r="D33" s="15" t="s">
        <v>102</v>
      </c>
      <c r="E33" s="265">
        <v>0</v>
      </c>
      <c r="F33" s="265">
        <v>0</v>
      </c>
      <c r="G33" s="265">
        <v>0</v>
      </c>
      <c r="H33" s="265">
        <v>0</v>
      </c>
      <c r="I33" s="54">
        <f t="shared" ref="I33:I72" si="3">SUM(E33:H33)</f>
        <v>0</v>
      </c>
    </row>
    <row r="34" spans="1:9" ht="12.65" customHeight="1" x14ac:dyDescent="0.25">
      <c r="A34" s="75">
        <v>5100</v>
      </c>
      <c r="B34" s="46" t="str">
        <f t="shared" ref="B34:B72" si="4">LEFT(C34,1)</f>
        <v>1</v>
      </c>
      <c r="C34" s="75">
        <v>120</v>
      </c>
      <c r="D34" s="15" t="s">
        <v>103</v>
      </c>
      <c r="E34" s="265">
        <v>450000</v>
      </c>
      <c r="F34" s="265">
        <v>0</v>
      </c>
      <c r="G34" s="265">
        <v>0</v>
      </c>
      <c r="H34" s="265">
        <v>0</v>
      </c>
      <c r="I34" s="54">
        <f t="shared" si="3"/>
        <v>450000</v>
      </c>
    </row>
    <row r="35" spans="1:9" ht="12.65" customHeight="1" x14ac:dyDescent="0.25">
      <c r="A35" s="75">
        <v>5100</v>
      </c>
      <c r="B35" s="46" t="str">
        <f t="shared" si="4"/>
        <v>1</v>
      </c>
      <c r="C35" s="75">
        <v>130</v>
      </c>
      <c r="D35" s="15" t="s">
        <v>104</v>
      </c>
      <c r="E35" s="265">
        <v>0</v>
      </c>
      <c r="F35" s="265">
        <v>0</v>
      </c>
      <c r="G35" s="265">
        <v>0</v>
      </c>
      <c r="H35" s="265">
        <v>0</v>
      </c>
      <c r="I35" s="54">
        <f t="shared" si="3"/>
        <v>0</v>
      </c>
    </row>
    <row r="36" spans="1:9" ht="12.65" customHeight="1" x14ac:dyDescent="0.25">
      <c r="A36" s="75">
        <v>5100</v>
      </c>
      <c r="B36" s="46" t="str">
        <f t="shared" si="4"/>
        <v>1</v>
      </c>
      <c r="C36" s="75">
        <v>140</v>
      </c>
      <c r="D36" s="15" t="s">
        <v>105</v>
      </c>
      <c r="E36" s="265">
        <v>0</v>
      </c>
      <c r="F36" s="265">
        <v>0</v>
      </c>
      <c r="G36" s="265">
        <v>0</v>
      </c>
      <c r="H36" s="265">
        <v>0</v>
      </c>
      <c r="I36" s="54">
        <f t="shared" si="3"/>
        <v>0</v>
      </c>
    </row>
    <row r="37" spans="1:9" ht="12.65" customHeight="1" x14ac:dyDescent="0.25">
      <c r="A37" s="75">
        <v>5100</v>
      </c>
      <c r="B37" s="46" t="str">
        <f t="shared" si="4"/>
        <v>1</v>
      </c>
      <c r="C37" s="75">
        <v>150</v>
      </c>
      <c r="D37" s="15" t="s">
        <v>106</v>
      </c>
      <c r="E37" s="265">
        <v>0</v>
      </c>
      <c r="F37" s="265">
        <v>0</v>
      </c>
      <c r="G37" s="265">
        <v>0</v>
      </c>
      <c r="H37" s="265">
        <v>0</v>
      </c>
      <c r="I37" s="54">
        <f t="shared" si="3"/>
        <v>0</v>
      </c>
    </row>
    <row r="38" spans="1:9" ht="12.65" customHeight="1" x14ac:dyDescent="0.25">
      <c r="A38" s="75">
        <v>5100</v>
      </c>
      <c r="B38" s="46" t="str">
        <f t="shared" si="4"/>
        <v>1</v>
      </c>
      <c r="C38" s="75">
        <v>160</v>
      </c>
      <c r="D38" s="15" t="s">
        <v>107</v>
      </c>
      <c r="E38" s="265">
        <v>0</v>
      </c>
      <c r="F38" s="265">
        <v>0</v>
      </c>
      <c r="G38" s="265">
        <v>0</v>
      </c>
      <c r="H38" s="265">
        <v>0</v>
      </c>
      <c r="I38" s="54">
        <f t="shared" si="3"/>
        <v>0</v>
      </c>
    </row>
    <row r="39" spans="1:9" ht="12.65" customHeight="1" x14ac:dyDescent="0.25">
      <c r="A39" s="75">
        <v>5100</v>
      </c>
      <c r="B39" s="46" t="str">
        <f t="shared" si="4"/>
        <v>2</v>
      </c>
      <c r="C39" s="75">
        <v>210</v>
      </c>
      <c r="D39" s="15" t="s">
        <v>108</v>
      </c>
      <c r="E39" s="265">
        <v>0</v>
      </c>
      <c r="F39" s="265">
        <v>0</v>
      </c>
      <c r="G39" s="265">
        <v>0</v>
      </c>
      <c r="H39" s="265">
        <v>0</v>
      </c>
      <c r="I39" s="54">
        <f t="shared" si="3"/>
        <v>0</v>
      </c>
    </row>
    <row r="40" spans="1:9" ht="12.65" customHeight="1" x14ac:dyDescent="0.25">
      <c r="A40" s="75">
        <v>5100</v>
      </c>
      <c r="B40" s="46" t="str">
        <f t="shared" si="4"/>
        <v>2</v>
      </c>
      <c r="C40" s="75">
        <v>220</v>
      </c>
      <c r="D40" s="15" t="s">
        <v>109</v>
      </c>
      <c r="E40" s="265">
        <f>450000*0.08</f>
        <v>36000</v>
      </c>
      <c r="F40" s="265">
        <v>0</v>
      </c>
      <c r="G40" s="265">
        <v>0</v>
      </c>
      <c r="H40" s="265">
        <v>0</v>
      </c>
      <c r="I40" s="54">
        <f t="shared" si="3"/>
        <v>36000</v>
      </c>
    </row>
    <row r="41" spans="1:9" ht="12.65" customHeight="1" x14ac:dyDescent="0.25">
      <c r="A41" s="75">
        <v>5100</v>
      </c>
      <c r="B41" s="46" t="str">
        <f t="shared" si="4"/>
        <v>2</v>
      </c>
      <c r="C41" s="75">
        <v>230</v>
      </c>
      <c r="D41" s="15" t="s">
        <v>110</v>
      </c>
      <c r="E41" s="265">
        <v>28000</v>
      </c>
      <c r="F41" s="265">
        <v>0</v>
      </c>
      <c r="G41" s="265">
        <v>0</v>
      </c>
      <c r="H41" s="265">
        <v>0</v>
      </c>
      <c r="I41" s="54">
        <f t="shared" si="3"/>
        <v>28000</v>
      </c>
    </row>
    <row r="42" spans="1:9" ht="12.65" customHeight="1" x14ac:dyDescent="0.25">
      <c r="A42" s="75">
        <v>5100</v>
      </c>
      <c r="B42" s="46" t="str">
        <f t="shared" si="4"/>
        <v>2</v>
      </c>
      <c r="C42" s="75">
        <v>240</v>
      </c>
      <c r="D42" s="15" t="s">
        <v>111</v>
      </c>
      <c r="E42" s="265">
        <v>11000</v>
      </c>
      <c r="F42" s="265">
        <v>0</v>
      </c>
      <c r="G42" s="265">
        <v>0</v>
      </c>
      <c r="H42" s="265">
        <v>0</v>
      </c>
      <c r="I42" s="54">
        <f t="shared" si="3"/>
        <v>11000</v>
      </c>
    </row>
    <row r="43" spans="1:9" ht="12.65" customHeight="1" x14ac:dyDescent="0.25">
      <c r="A43" s="75">
        <v>5100</v>
      </c>
      <c r="B43" s="46" t="str">
        <f t="shared" si="4"/>
        <v>2</v>
      </c>
      <c r="C43" s="75">
        <v>250</v>
      </c>
      <c r="D43" s="15" t="s">
        <v>112</v>
      </c>
      <c r="E43" s="265">
        <v>5000</v>
      </c>
      <c r="F43" s="265">
        <v>0</v>
      </c>
      <c r="G43" s="265">
        <v>0</v>
      </c>
      <c r="H43" s="265">
        <v>0</v>
      </c>
      <c r="I43" s="54">
        <f t="shared" si="3"/>
        <v>5000</v>
      </c>
    </row>
    <row r="44" spans="1:9" ht="12.65" customHeight="1" x14ac:dyDescent="0.25">
      <c r="A44" s="75">
        <v>5100</v>
      </c>
      <c r="B44" s="46" t="str">
        <f t="shared" si="4"/>
        <v>2</v>
      </c>
      <c r="C44" s="75">
        <v>290</v>
      </c>
      <c r="D44" s="15" t="s">
        <v>113</v>
      </c>
      <c r="E44" s="265">
        <v>0</v>
      </c>
      <c r="F44" s="265">
        <v>0</v>
      </c>
      <c r="G44" s="265">
        <v>0</v>
      </c>
      <c r="H44" s="265">
        <v>0</v>
      </c>
      <c r="I44" s="54">
        <f t="shared" si="3"/>
        <v>0</v>
      </c>
    </row>
    <row r="45" spans="1:9" x14ac:dyDescent="0.25">
      <c r="A45" s="75">
        <v>5100</v>
      </c>
      <c r="B45" s="46" t="str">
        <f t="shared" si="4"/>
        <v>3</v>
      </c>
      <c r="C45" s="75">
        <v>310</v>
      </c>
      <c r="D45" s="15" t="s">
        <v>114</v>
      </c>
      <c r="E45" s="265">
        <v>20000</v>
      </c>
      <c r="F45" s="265">
        <v>0</v>
      </c>
      <c r="G45" s="265">
        <v>0</v>
      </c>
      <c r="H45" s="265">
        <v>0</v>
      </c>
      <c r="I45" s="54">
        <f t="shared" si="3"/>
        <v>20000</v>
      </c>
    </row>
    <row r="46" spans="1:9" x14ac:dyDescent="0.25">
      <c r="A46" s="75">
        <v>5100</v>
      </c>
      <c r="B46" s="46" t="str">
        <f t="shared" si="4"/>
        <v>3</v>
      </c>
      <c r="C46" s="75">
        <v>320</v>
      </c>
      <c r="D46" s="15" t="s">
        <v>115</v>
      </c>
      <c r="E46" s="265">
        <v>0</v>
      </c>
      <c r="F46" s="265">
        <v>0</v>
      </c>
      <c r="G46" s="265">
        <v>0</v>
      </c>
      <c r="H46" s="265">
        <v>0</v>
      </c>
      <c r="I46" s="54">
        <f t="shared" si="3"/>
        <v>0</v>
      </c>
    </row>
    <row r="47" spans="1:9" x14ac:dyDescent="0.25">
      <c r="A47" s="75">
        <v>5100</v>
      </c>
      <c r="B47" s="46" t="str">
        <f t="shared" si="4"/>
        <v>3</v>
      </c>
      <c r="C47" s="75">
        <v>330</v>
      </c>
      <c r="D47" s="15" t="s">
        <v>84</v>
      </c>
      <c r="E47" s="265">
        <v>0</v>
      </c>
      <c r="F47" s="265">
        <v>0</v>
      </c>
      <c r="G47" s="265">
        <v>0</v>
      </c>
      <c r="H47" s="265">
        <v>0</v>
      </c>
      <c r="I47" s="54">
        <f t="shared" si="3"/>
        <v>0</v>
      </c>
    </row>
    <row r="48" spans="1:9" x14ac:dyDescent="0.25">
      <c r="A48" s="75">
        <v>5100</v>
      </c>
      <c r="B48" s="46" t="str">
        <f t="shared" si="4"/>
        <v>3</v>
      </c>
      <c r="C48" s="75">
        <v>350</v>
      </c>
      <c r="D48" s="15" t="s">
        <v>116</v>
      </c>
      <c r="E48" s="265">
        <v>0</v>
      </c>
      <c r="F48" s="265">
        <v>0</v>
      </c>
      <c r="G48" s="265">
        <v>0</v>
      </c>
      <c r="H48" s="265">
        <v>0</v>
      </c>
      <c r="I48" s="54">
        <f t="shared" si="3"/>
        <v>0</v>
      </c>
    </row>
    <row r="49" spans="1:9" x14ac:dyDescent="0.25">
      <c r="A49" s="75">
        <v>5100</v>
      </c>
      <c r="B49" s="46" t="str">
        <f t="shared" si="4"/>
        <v>3</v>
      </c>
      <c r="C49" s="75">
        <v>360</v>
      </c>
      <c r="D49" s="15" t="s">
        <v>92</v>
      </c>
      <c r="E49" s="265">
        <v>0</v>
      </c>
      <c r="F49" s="265">
        <v>0</v>
      </c>
      <c r="G49" s="265">
        <v>0</v>
      </c>
      <c r="H49" s="265">
        <v>0</v>
      </c>
      <c r="I49" s="54">
        <f t="shared" si="3"/>
        <v>0</v>
      </c>
    </row>
    <row r="50" spans="1:9" x14ac:dyDescent="0.25">
      <c r="A50" s="75">
        <v>5100</v>
      </c>
      <c r="B50" s="46" t="str">
        <f t="shared" si="4"/>
        <v>3</v>
      </c>
      <c r="C50" s="75">
        <v>370</v>
      </c>
      <c r="D50" s="15" t="s">
        <v>93</v>
      </c>
      <c r="E50" s="265">
        <v>0</v>
      </c>
      <c r="F50" s="265">
        <v>0</v>
      </c>
      <c r="G50" s="265">
        <v>0</v>
      </c>
      <c r="H50" s="265">
        <v>0</v>
      </c>
      <c r="I50" s="54">
        <f t="shared" si="3"/>
        <v>0</v>
      </c>
    </row>
    <row r="51" spans="1:9" x14ac:dyDescent="0.25">
      <c r="A51" s="75">
        <v>5100</v>
      </c>
      <c r="B51" s="46" t="str">
        <f t="shared" si="4"/>
        <v>3</v>
      </c>
      <c r="C51" s="75">
        <v>380</v>
      </c>
      <c r="D51" s="15" t="s">
        <v>117</v>
      </c>
      <c r="E51" s="265">
        <v>0</v>
      </c>
      <c r="F51" s="265">
        <v>0</v>
      </c>
      <c r="G51" s="265">
        <v>0</v>
      </c>
      <c r="H51" s="265">
        <v>0</v>
      </c>
      <c r="I51" s="54">
        <f t="shared" si="3"/>
        <v>0</v>
      </c>
    </row>
    <row r="52" spans="1:9" x14ac:dyDescent="0.25">
      <c r="A52" s="75">
        <v>5100</v>
      </c>
      <c r="B52" s="46" t="str">
        <f t="shared" si="4"/>
        <v>3</v>
      </c>
      <c r="C52" s="75">
        <v>390</v>
      </c>
      <c r="D52" s="15" t="s">
        <v>118</v>
      </c>
      <c r="E52" s="265">
        <v>0</v>
      </c>
      <c r="F52" s="265">
        <v>0</v>
      </c>
      <c r="G52" s="265">
        <v>0</v>
      </c>
      <c r="H52" s="265">
        <v>0</v>
      </c>
      <c r="I52" s="54">
        <f t="shared" si="3"/>
        <v>0</v>
      </c>
    </row>
    <row r="53" spans="1:9" x14ac:dyDescent="0.25">
      <c r="A53" s="75">
        <v>5100</v>
      </c>
      <c r="B53" s="46" t="str">
        <f t="shared" si="4"/>
        <v>4</v>
      </c>
      <c r="C53" s="75">
        <v>430</v>
      </c>
      <c r="D53" s="15" t="s">
        <v>119</v>
      </c>
      <c r="E53" s="265">
        <v>0</v>
      </c>
      <c r="F53" s="265">
        <v>0</v>
      </c>
      <c r="G53" s="265">
        <v>0</v>
      </c>
      <c r="H53" s="265">
        <v>0</v>
      </c>
      <c r="I53" s="54">
        <f t="shared" si="3"/>
        <v>0</v>
      </c>
    </row>
    <row r="54" spans="1:9" x14ac:dyDescent="0.25">
      <c r="A54" s="75">
        <v>5100</v>
      </c>
      <c r="B54" s="46" t="str">
        <f t="shared" si="4"/>
        <v>5</v>
      </c>
      <c r="C54" s="75">
        <v>510</v>
      </c>
      <c r="D54" s="15" t="s">
        <v>94</v>
      </c>
      <c r="E54" s="265">
        <f>35000+10000</f>
        <v>45000</v>
      </c>
      <c r="F54" s="265">
        <v>0</v>
      </c>
      <c r="G54" s="265">
        <v>0</v>
      </c>
      <c r="H54" s="265">
        <v>0</v>
      </c>
      <c r="I54" s="54">
        <f t="shared" si="3"/>
        <v>45000</v>
      </c>
    </row>
    <row r="55" spans="1:9" x14ac:dyDescent="0.25">
      <c r="A55" s="75">
        <v>5100</v>
      </c>
      <c r="B55" s="46" t="str">
        <f t="shared" si="4"/>
        <v>5</v>
      </c>
      <c r="C55" s="75">
        <v>520</v>
      </c>
      <c r="D55" s="15" t="s">
        <v>95</v>
      </c>
      <c r="E55" s="265">
        <v>55000</v>
      </c>
      <c r="F55" s="265">
        <v>0</v>
      </c>
      <c r="G55" s="265">
        <v>0</v>
      </c>
      <c r="H55" s="265">
        <v>0</v>
      </c>
      <c r="I55" s="54">
        <f t="shared" si="3"/>
        <v>55000</v>
      </c>
    </row>
    <row r="56" spans="1:9" x14ac:dyDescent="0.25">
      <c r="A56" s="75">
        <v>5100</v>
      </c>
      <c r="B56" s="46" t="str">
        <f t="shared" si="4"/>
        <v>5</v>
      </c>
      <c r="C56" s="75">
        <v>530</v>
      </c>
      <c r="D56" s="15" t="s">
        <v>120</v>
      </c>
      <c r="E56" s="265">
        <v>0</v>
      </c>
      <c r="F56" s="265">
        <v>0</v>
      </c>
      <c r="G56" s="265">
        <v>0</v>
      </c>
      <c r="H56" s="265">
        <v>0</v>
      </c>
      <c r="I56" s="54">
        <f t="shared" si="3"/>
        <v>0</v>
      </c>
    </row>
    <row r="57" spans="1:9" x14ac:dyDescent="0.25">
      <c r="A57" s="75">
        <v>5100</v>
      </c>
      <c r="B57" s="46" t="str">
        <f t="shared" si="4"/>
        <v>5</v>
      </c>
      <c r="C57" s="75">
        <v>570</v>
      </c>
      <c r="D57" s="15" t="s">
        <v>85</v>
      </c>
      <c r="E57" s="265">
        <v>0</v>
      </c>
      <c r="F57" s="265">
        <v>0</v>
      </c>
      <c r="G57" s="265">
        <v>0</v>
      </c>
      <c r="H57" s="265">
        <v>0</v>
      </c>
      <c r="I57" s="54">
        <f t="shared" si="3"/>
        <v>0</v>
      </c>
    </row>
    <row r="58" spans="1:9" x14ac:dyDescent="0.25">
      <c r="A58" s="75">
        <v>5100</v>
      </c>
      <c r="B58" s="46" t="str">
        <f t="shared" si="4"/>
        <v>5</v>
      </c>
      <c r="C58" s="75">
        <v>590</v>
      </c>
      <c r="D58" s="15" t="s">
        <v>121</v>
      </c>
      <c r="E58" s="265">
        <v>0</v>
      </c>
      <c r="F58" s="265">
        <v>0</v>
      </c>
      <c r="G58" s="265">
        <v>0</v>
      </c>
      <c r="H58" s="265">
        <v>0</v>
      </c>
      <c r="I58" s="54">
        <f t="shared" si="3"/>
        <v>0</v>
      </c>
    </row>
    <row r="59" spans="1:9" x14ac:dyDescent="0.25">
      <c r="A59" s="75">
        <v>5100</v>
      </c>
      <c r="B59" s="46" t="str">
        <f t="shared" si="4"/>
        <v>6</v>
      </c>
      <c r="C59" s="75">
        <v>610</v>
      </c>
      <c r="D59" s="15" t="s">
        <v>122</v>
      </c>
      <c r="E59" s="265">
        <v>0</v>
      </c>
      <c r="F59" s="265">
        <v>0</v>
      </c>
      <c r="G59" s="265">
        <v>0</v>
      </c>
      <c r="H59" s="265">
        <v>0</v>
      </c>
      <c r="I59" s="54">
        <f t="shared" si="3"/>
        <v>0</v>
      </c>
    </row>
    <row r="60" spans="1:9" x14ac:dyDescent="0.25">
      <c r="A60" s="75">
        <v>5100</v>
      </c>
      <c r="B60" s="46" t="str">
        <f t="shared" si="4"/>
        <v>6</v>
      </c>
      <c r="C60" s="75">
        <v>621</v>
      </c>
      <c r="D60" s="15" t="s">
        <v>123</v>
      </c>
      <c r="E60" s="265">
        <v>0</v>
      </c>
      <c r="F60" s="265">
        <v>0</v>
      </c>
      <c r="G60" s="265">
        <v>0</v>
      </c>
      <c r="H60" s="265">
        <v>0</v>
      </c>
      <c r="I60" s="54">
        <f t="shared" si="3"/>
        <v>0</v>
      </c>
    </row>
    <row r="61" spans="1:9" x14ac:dyDescent="0.25">
      <c r="A61" s="75">
        <v>5100</v>
      </c>
      <c r="B61" s="46" t="str">
        <f t="shared" si="4"/>
        <v>6</v>
      </c>
      <c r="C61" s="75">
        <v>622</v>
      </c>
      <c r="D61" s="15" t="s">
        <v>124</v>
      </c>
      <c r="E61" s="265">
        <v>0</v>
      </c>
      <c r="F61" s="265">
        <v>0</v>
      </c>
      <c r="G61" s="265">
        <v>0</v>
      </c>
      <c r="H61" s="265">
        <v>0</v>
      </c>
      <c r="I61" s="54">
        <f t="shared" si="3"/>
        <v>0</v>
      </c>
    </row>
    <row r="62" spans="1:9" x14ac:dyDescent="0.25">
      <c r="A62" s="75">
        <v>5100</v>
      </c>
      <c r="B62" s="46" t="str">
        <f t="shared" si="4"/>
        <v>6</v>
      </c>
      <c r="C62" s="75">
        <v>630</v>
      </c>
      <c r="D62" s="15" t="s">
        <v>125</v>
      </c>
      <c r="E62" s="265">
        <v>0</v>
      </c>
      <c r="F62" s="265">
        <v>0</v>
      </c>
      <c r="G62" s="265">
        <v>0</v>
      </c>
      <c r="H62" s="265">
        <v>0</v>
      </c>
      <c r="I62" s="54">
        <f t="shared" si="3"/>
        <v>0</v>
      </c>
    </row>
    <row r="63" spans="1:9" x14ac:dyDescent="0.25">
      <c r="A63" s="75">
        <v>5100</v>
      </c>
      <c r="B63" s="46" t="str">
        <f t="shared" si="4"/>
        <v>6</v>
      </c>
      <c r="C63" s="75">
        <v>641</v>
      </c>
      <c r="D63" s="15" t="s">
        <v>126</v>
      </c>
      <c r="E63" s="265">
        <v>0</v>
      </c>
      <c r="F63" s="265">
        <v>0</v>
      </c>
      <c r="G63" s="265">
        <v>0</v>
      </c>
      <c r="H63" s="265">
        <v>0</v>
      </c>
      <c r="I63" s="54">
        <f t="shared" si="3"/>
        <v>0</v>
      </c>
    </row>
    <row r="64" spans="1:9" x14ac:dyDescent="0.25">
      <c r="A64" s="75">
        <v>5100</v>
      </c>
      <c r="B64" s="46" t="str">
        <f t="shared" si="4"/>
        <v>6</v>
      </c>
      <c r="C64" s="75">
        <v>642</v>
      </c>
      <c r="D64" s="15" t="s">
        <v>127</v>
      </c>
      <c r="E64" s="265">
        <v>35000</v>
      </c>
      <c r="F64" s="265">
        <v>0</v>
      </c>
      <c r="G64" s="265">
        <v>0</v>
      </c>
      <c r="H64" s="265">
        <v>0</v>
      </c>
      <c r="I64" s="54">
        <f t="shared" si="3"/>
        <v>35000</v>
      </c>
    </row>
    <row r="65" spans="1:9" x14ac:dyDescent="0.25">
      <c r="A65" s="75">
        <v>5100</v>
      </c>
      <c r="B65" s="46" t="str">
        <f t="shared" si="4"/>
        <v>6</v>
      </c>
      <c r="C65" s="75">
        <v>643</v>
      </c>
      <c r="D65" s="15" t="s">
        <v>128</v>
      </c>
      <c r="E65" s="265">
        <v>0</v>
      </c>
      <c r="F65" s="265">
        <v>0</v>
      </c>
      <c r="G65" s="265">
        <v>0</v>
      </c>
      <c r="H65" s="265">
        <v>0</v>
      </c>
      <c r="I65" s="54">
        <f t="shared" si="3"/>
        <v>0</v>
      </c>
    </row>
    <row r="66" spans="1:9" x14ac:dyDescent="0.25">
      <c r="A66" s="75">
        <v>5100</v>
      </c>
      <c r="B66" s="46" t="str">
        <f t="shared" si="4"/>
        <v>6</v>
      </c>
      <c r="C66" s="75">
        <v>644</v>
      </c>
      <c r="D66" s="15" t="s">
        <v>129</v>
      </c>
      <c r="E66" s="265">
        <v>20000</v>
      </c>
      <c r="F66" s="265">
        <v>0</v>
      </c>
      <c r="G66" s="265">
        <v>0</v>
      </c>
      <c r="H66" s="265">
        <v>0</v>
      </c>
      <c r="I66" s="54">
        <f t="shared" si="3"/>
        <v>20000</v>
      </c>
    </row>
    <row r="67" spans="1:9" x14ac:dyDescent="0.25">
      <c r="A67" s="75">
        <v>5100</v>
      </c>
      <c r="B67" s="46" t="str">
        <f t="shared" si="4"/>
        <v>6</v>
      </c>
      <c r="C67" s="75">
        <v>680</v>
      </c>
      <c r="D67" s="15" t="s">
        <v>130</v>
      </c>
      <c r="E67" s="265">
        <v>0</v>
      </c>
      <c r="F67" s="265">
        <v>0</v>
      </c>
      <c r="G67" s="265">
        <v>0</v>
      </c>
      <c r="H67" s="265">
        <v>0</v>
      </c>
      <c r="I67" s="54">
        <f t="shared" si="3"/>
        <v>0</v>
      </c>
    </row>
    <row r="68" spans="1:9" x14ac:dyDescent="0.25">
      <c r="A68" s="75">
        <v>5100</v>
      </c>
      <c r="B68" s="46" t="str">
        <f t="shared" si="4"/>
        <v>6</v>
      </c>
      <c r="C68" s="75">
        <v>690</v>
      </c>
      <c r="D68" s="15" t="s">
        <v>131</v>
      </c>
      <c r="E68" s="265">
        <v>35000</v>
      </c>
      <c r="F68" s="265">
        <v>0</v>
      </c>
      <c r="G68" s="265">
        <v>0</v>
      </c>
      <c r="H68" s="265">
        <v>0</v>
      </c>
      <c r="I68" s="54">
        <f t="shared" si="3"/>
        <v>35000</v>
      </c>
    </row>
    <row r="69" spans="1:9" x14ac:dyDescent="0.25">
      <c r="A69" s="75">
        <v>5100</v>
      </c>
      <c r="B69" s="46" t="str">
        <f t="shared" si="4"/>
        <v>7</v>
      </c>
      <c r="C69" s="75">
        <v>720</v>
      </c>
      <c r="D69" s="15" t="s">
        <v>132</v>
      </c>
      <c r="E69" s="265">
        <v>0</v>
      </c>
      <c r="F69" s="265">
        <v>0</v>
      </c>
      <c r="G69" s="265">
        <v>0</v>
      </c>
      <c r="H69" s="265">
        <v>0</v>
      </c>
      <c r="I69" s="54">
        <f t="shared" si="3"/>
        <v>0</v>
      </c>
    </row>
    <row r="70" spans="1:9" x14ac:dyDescent="0.25">
      <c r="A70" s="75">
        <v>5100</v>
      </c>
      <c r="B70" s="46" t="str">
        <f t="shared" si="4"/>
        <v>7</v>
      </c>
      <c r="C70" s="75">
        <v>730</v>
      </c>
      <c r="D70" s="15" t="s">
        <v>133</v>
      </c>
      <c r="E70" s="265">
        <v>0</v>
      </c>
      <c r="F70" s="265">
        <v>0</v>
      </c>
      <c r="G70" s="265">
        <v>0</v>
      </c>
      <c r="H70" s="265">
        <v>0</v>
      </c>
      <c r="I70" s="54">
        <f t="shared" si="3"/>
        <v>0</v>
      </c>
    </row>
    <row r="71" spans="1:9" x14ac:dyDescent="0.25">
      <c r="A71" s="75">
        <v>5100</v>
      </c>
      <c r="B71" s="46" t="str">
        <f t="shared" si="4"/>
        <v>7</v>
      </c>
      <c r="C71" s="75">
        <v>750</v>
      </c>
      <c r="D71" s="15" t="s">
        <v>134</v>
      </c>
      <c r="E71" s="265">
        <v>0</v>
      </c>
      <c r="F71" s="265">
        <v>0</v>
      </c>
      <c r="G71" s="265">
        <v>0</v>
      </c>
      <c r="H71" s="265">
        <v>0</v>
      </c>
      <c r="I71" s="54">
        <f t="shared" si="3"/>
        <v>0</v>
      </c>
    </row>
    <row r="72" spans="1:9" x14ac:dyDescent="0.25">
      <c r="A72" s="75">
        <v>5100</v>
      </c>
      <c r="B72" s="46" t="str">
        <f t="shared" si="4"/>
        <v>7</v>
      </c>
      <c r="C72" s="75">
        <v>790</v>
      </c>
      <c r="D72" s="15" t="s">
        <v>135</v>
      </c>
      <c r="E72" s="265">
        <v>0</v>
      </c>
      <c r="F72" s="265">
        <v>0</v>
      </c>
      <c r="G72" s="265">
        <v>0</v>
      </c>
      <c r="H72" s="265">
        <v>0</v>
      </c>
      <c r="I72" s="54">
        <f t="shared" si="3"/>
        <v>0</v>
      </c>
    </row>
    <row r="73" spans="1:9" ht="15.5" x14ac:dyDescent="0.35">
      <c r="B73" s="46">
        <v>5000</v>
      </c>
      <c r="D73" s="76" t="s">
        <v>145</v>
      </c>
      <c r="E73" s="77">
        <f>SUM(E33:E72)</f>
        <v>740000</v>
      </c>
      <c r="F73" s="77">
        <f>SUM(F33:F72)</f>
        <v>0</v>
      </c>
      <c r="G73" s="77">
        <f>SUM(G33:G72)</f>
        <v>0</v>
      </c>
      <c r="H73" s="77">
        <f>SUM(H33:H72)</f>
        <v>0</v>
      </c>
      <c r="I73" s="77">
        <f>SUM(I33:I72)</f>
        <v>740000</v>
      </c>
    </row>
    <row r="74" spans="1:9" ht="18.5" x14ac:dyDescent="0.45">
      <c r="A74" s="48" t="s">
        <v>146</v>
      </c>
      <c r="B74" s="49"/>
      <c r="C74" s="50"/>
      <c r="D74" s="50"/>
      <c r="E74" s="74"/>
      <c r="F74" s="74"/>
      <c r="G74" s="74"/>
      <c r="H74" s="74"/>
      <c r="I74" s="74"/>
    </row>
    <row r="75" spans="1:9" ht="12.65" customHeight="1" x14ac:dyDescent="0.25">
      <c r="A75" s="75">
        <v>5200</v>
      </c>
      <c r="B75" s="46" t="str">
        <f>LEFT(C75,1)</f>
        <v>1</v>
      </c>
      <c r="C75" s="75">
        <v>110</v>
      </c>
      <c r="D75" s="15" t="s">
        <v>102</v>
      </c>
      <c r="E75" s="265">
        <v>0</v>
      </c>
      <c r="F75" s="265">
        <v>0</v>
      </c>
      <c r="G75" s="265">
        <v>0</v>
      </c>
      <c r="H75" s="265">
        <v>0</v>
      </c>
      <c r="I75" s="54">
        <f t="shared" ref="I75:I114" si="5">SUM(E75:H75)</f>
        <v>0</v>
      </c>
    </row>
    <row r="76" spans="1:9" ht="12.65" customHeight="1" x14ac:dyDescent="0.25">
      <c r="A76" s="75">
        <v>5200</v>
      </c>
      <c r="B76" s="46" t="str">
        <f t="shared" ref="B76:B114" si="6">LEFT(C76,1)</f>
        <v>1</v>
      </c>
      <c r="C76" s="75">
        <v>120</v>
      </c>
      <c r="D76" s="15" t="s">
        <v>103</v>
      </c>
      <c r="E76" s="265">
        <v>60000</v>
      </c>
      <c r="F76" s="265">
        <v>0</v>
      </c>
      <c r="G76" s="265">
        <v>0</v>
      </c>
      <c r="H76" s="265">
        <v>0</v>
      </c>
      <c r="I76" s="54">
        <f t="shared" si="5"/>
        <v>60000</v>
      </c>
    </row>
    <row r="77" spans="1:9" ht="12.65" customHeight="1" x14ac:dyDescent="0.25">
      <c r="A77" s="75">
        <v>5200</v>
      </c>
      <c r="B77" s="46" t="str">
        <f t="shared" si="6"/>
        <v>1</v>
      </c>
      <c r="C77" s="75">
        <v>130</v>
      </c>
      <c r="D77" s="15" t="s">
        <v>104</v>
      </c>
      <c r="E77" s="265">
        <v>0</v>
      </c>
      <c r="F77" s="265">
        <v>0</v>
      </c>
      <c r="G77" s="265">
        <v>0</v>
      </c>
      <c r="H77" s="265">
        <v>0</v>
      </c>
      <c r="I77" s="54">
        <f t="shared" si="5"/>
        <v>0</v>
      </c>
    </row>
    <row r="78" spans="1:9" ht="12.65" customHeight="1" x14ac:dyDescent="0.25">
      <c r="A78" s="75">
        <v>5200</v>
      </c>
      <c r="B78" s="46" t="str">
        <f t="shared" si="6"/>
        <v>1</v>
      </c>
      <c r="C78" s="75">
        <v>140</v>
      </c>
      <c r="D78" s="15" t="s">
        <v>105</v>
      </c>
      <c r="E78" s="265">
        <v>0</v>
      </c>
      <c r="F78" s="265">
        <v>0</v>
      </c>
      <c r="G78" s="265">
        <v>0</v>
      </c>
      <c r="H78" s="265">
        <v>0</v>
      </c>
      <c r="I78" s="54">
        <f t="shared" si="5"/>
        <v>0</v>
      </c>
    </row>
    <row r="79" spans="1:9" ht="12.65" customHeight="1" x14ac:dyDescent="0.25">
      <c r="A79" s="75">
        <v>5200</v>
      </c>
      <c r="B79" s="46" t="str">
        <f t="shared" si="6"/>
        <v>1</v>
      </c>
      <c r="C79" s="75">
        <v>150</v>
      </c>
      <c r="D79" s="15" t="s">
        <v>106</v>
      </c>
      <c r="E79" s="265">
        <v>0</v>
      </c>
      <c r="F79" s="265">
        <v>0</v>
      </c>
      <c r="G79" s="265">
        <v>0</v>
      </c>
      <c r="H79" s="265">
        <v>0</v>
      </c>
      <c r="I79" s="54">
        <f t="shared" si="5"/>
        <v>0</v>
      </c>
    </row>
    <row r="80" spans="1:9" ht="12.65" customHeight="1" x14ac:dyDescent="0.25">
      <c r="A80" s="75">
        <v>5200</v>
      </c>
      <c r="B80" s="46" t="str">
        <f t="shared" si="6"/>
        <v>1</v>
      </c>
      <c r="C80" s="75">
        <v>160</v>
      </c>
      <c r="D80" s="15" t="s">
        <v>107</v>
      </c>
      <c r="E80" s="265">
        <v>0</v>
      </c>
      <c r="F80" s="265">
        <v>0</v>
      </c>
      <c r="G80" s="265">
        <v>0</v>
      </c>
      <c r="H80" s="265">
        <v>0</v>
      </c>
      <c r="I80" s="54">
        <f t="shared" si="5"/>
        <v>0</v>
      </c>
    </row>
    <row r="81" spans="1:9" ht="12.65" customHeight="1" x14ac:dyDescent="0.25">
      <c r="A81" s="75">
        <v>5200</v>
      </c>
      <c r="B81" s="46" t="str">
        <f t="shared" si="6"/>
        <v>2</v>
      </c>
      <c r="C81" s="75">
        <v>210</v>
      </c>
      <c r="D81" s="15" t="s">
        <v>108</v>
      </c>
      <c r="E81" s="265">
        <v>0</v>
      </c>
      <c r="F81" s="265">
        <v>0</v>
      </c>
      <c r="G81" s="265">
        <v>0</v>
      </c>
      <c r="H81" s="265">
        <v>0</v>
      </c>
      <c r="I81" s="54">
        <f t="shared" si="5"/>
        <v>0</v>
      </c>
    </row>
    <row r="82" spans="1:9" ht="12.65" customHeight="1" x14ac:dyDescent="0.25">
      <c r="A82" s="75">
        <v>5200</v>
      </c>
      <c r="B82" s="46" t="str">
        <f t="shared" si="6"/>
        <v>2</v>
      </c>
      <c r="C82" s="75">
        <v>220</v>
      </c>
      <c r="D82" s="15" t="s">
        <v>109</v>
      </c>
      <c r="E82" s="265">
        <f>60000*0.08</f>
        <v>4800</v>
      </c>
      <c r="F82" s="265">
        <v>0</v>
      </c>
      <c r="G82" s="265">
        <v>0</v>
      </c>
      <c r="H82" s="265">
        <v>0</v>
      </c>
      <c r="I82" s="54">
        <f t="shared" si="5"/>
        <v>4800</v>
      </c>
    </row>
    <row r="83" spans="1:9" ht="12.65" customHeight="1" x14ac:dyDescent="0.25">
      <c r="A83" s="75">
        <v>5200</v>
      </c>
      <c r="B83" s="46" t="str">
        <f t="shared" si="6"/>
        <v>2</v>
      </c>
      <c r="C83" s="75">
        <v>230</v>
      </c>
      <c r="D83" s="15" t="s">
        <v>110</v>
      </c>
      <c r="E83" s="265">
        <v>4000</v>
      </c>
      <c r="F83" s="265">
        <v>0</v>
      </c>
      <c r="G83" s="265">
        <v>0</v>
      </c>
      <c r="H83" s="265">
        <v>0</v>
      </c>
      <c r="I83" s="54">
        <f t="shared" si="5"/>
        <v>4000</v>
      </c>
    </row>
    <row r="84" spans="1:9" ht="12.65" customHeight="1" x14ac:dyDescent="0.25">
      <c r="A84" s="75">
        <v>5200</v>
      </c>
      <c r="B84" s="46" t="str">
        <f t="shared" si="6"/>
        <v>2</v>
      </c>
      <c r="C84" s="75">
        <v>240</v>
      </c>
      <c r="D84" s="15" t="s">
        <v>111</v>
      </c>
      <c r="E84" s="265">
        <v>500</v>
      </c>
      <c r="F84" s="265">
        <v>0</v>
      </c>
      <c r="G84" s="265">
        <v>0</v>
      </c>
      <c r="H84" s="265">
        <v>0</v>
      </c>
      <c r="I84" s="54">
        <f t="shared" si="5"/>
        <v>500</v>
      </c>
    </row>
    <row r="85" spans="1:9" ht="12.65" customHeight="1" x14ac:dyDescent="0.25">
      <c r="A85" s="75">
        <v>5200</v>
      </c>
      <c r="B85" s="46" t="str">
        <f t="shared" si="6"/>
        <v>2</v>
      </c>
      <c r="C85" s="75">
        <v>250</v>
      </c>
      <c r="D85" s="15" t="s">
        <v>112</v>
      </c>
      <c r="E85" s="265">
        <v>500</v>
      </c>
      <c r="F85" s="265">
        <v>0</v>
      </c>
      <c r="G85" s="265">
        <v>0</v>
      </c>
      <c r="H85" s="265">
        <v>0</v>
      </c>
      <c r="I85" s="54">
        <f t="shared" si="5"/>
        <v>500</v>
      </c>
    </row>
    <row r="86" spans="1:9" ht="12.65" customHeight="1" x14ac:dyDescent="0.25">
      <c r="A86" s="75">
        <v>5200</v>
      </c>
      <c r="B86" s="46" t="str">
        <f t="shared" si="6"/>
        <v>2</v>
      </c>
      <c r="C86" s="75">
        <v>290</v>
      </c>
      <c r="D86" s="15" t="s">
        <v>113</v>
      </c>
      <c r="E86" s="265">
        <v>0</v>
      </c>
      <c r="F86" s="265">
        <v>0</v>
      </c>
      <c r="G86" s="265">
        <v>0</v>
      </c>
      <c r="H86" s="265">
        <v>0</v>
      </c>
      <c r="I86" s="54">
        <f t="shared" si="5"/>
        <v>0</v>
      </c>
    </row>
    <row r="87" spans="1:9" x14ac:dyDescent="0.25">
      <c r="A87" s="75">
        <v>5200</v>
      </c>
      <c r="B87" s="46" t="str">
        <f t="shared" si="6"/>
        <v>3</v>
      </c>
      <c r="C87" s="75">
        <v>310</v>
      </c>
      <c r="D87" s="15" t="s">
        <v>114</v>
      </c>
      <c r="E87" s="265">
        <v>10000</v>
      </c>
      <c r="F87" s="265">
        <v>0</v>
      </c>
      <c r="G87" s="265">
        <v>0</v>
      </c>
      <c r="H87" s="265">
        <v>0</v>
      </c>
      <c r="I87" s="54">
        <f t="shared" si="5"/>
        <v>10000</v>
      </c>
    </row>
    <row r="88" spans="1:9" x14ac:dyDescent="0.25">
      <c r="A88" s="75">
        <v>5200</v>
      </c>
      <c r="B88" s="46" t="str">
        <f t="shared" si="6"/>
        <v>3</v>
      </c>
      <c r="C88" s="75">
        <v>320</v>
      </c>
      <c r="D88" s="15" t="s">
        <v>115</v>
      </c>
      <c r="E88" s="265">
        <v>0</v>
      </c>
      <c r="F88" s="265">
        <v>0</v>
      </c>
      <c r="G88" s="265">
        <v>0</v>
      </c>
      <c r="H88" s="265">
        <v>0</v>
      </c>
      <c r="I88" s="54">
        <f t="shared" si="5"/>
        <v>0</v>
      </c>
    </row>
    <row r="89" spans="1:9" x14ac:dyDescent="0.25">
      <c r="A89" s="75">
        <v>5200</v>
      </c>
      <c r="B89" s="46" t="str">
        <f t="shared" si="6"/>
        <v>3</v>
      </c>
      <c r="C89" s="75">
        <v>330</v>
      </c>
      <c r="D89" s="15" t="s">
        <v>84</v>
      </c>
      <c r="E89" s="265">
        <v>0</v>
      </c>
      <c r="F89" s="265">
        <v>0</v>
      </c>
      <c r="G89" s="265">
        <v>0</v>
      </c>
      <c r="H89" s="265">
        <v>0</v>
      </c>
      <c r="I89" s="54">
        <f t="shared" si="5"/>
        <v>0</v>
      </c>
    </row>
    <row r="90" spans="1:9" x14ac:dyDescent="0.25">
      <c r="A90" s="75">
        <v>5200</v>
      </c>
      <c r="B90" s="46" t="str">
        <f t="shared" si="6"/>
        <v>3</v>
      </c>
      <c r="C90" s="75">
        <v>350</v>
      </c>
      <c r="D90" s="15" t="s">
        <v>116</v>
      </c>
      <c r="E90" s="265">
        <v>0</v>
      </c>
      <c r="F90" s="265">
        <v>0</v>
      </c>
      <c r="G90" s="265">
        <v>0</v>
      </c>
      <c r="H90" s="265">
        <v>0</v>
      </c>
      <c r="I90" s="54">
        <f t="shared" si="5"/>
        <v>0</v>
      </c>
    </row>
    <row r="91" spans="1:9" x14ac:dyDescent="0.25">
      <c r="A91" s="75">
        <v>5200</v>
      </c>
      <c r="B91" s="46" t="str">
        <f t="shared" si="6"/>
        <v>3</v>
      </c>
      <c r="C91" s="75">
        <v>360</v>
      </c>
      <c r="D91" s="15" t="s">
        <v>92</v>
      </c>
      <c r="E91" s="265">
        <v>0</v>
      </c>
      <c r="F91" s="265">
        <v>0</v>
      </c>
      <c r="G91" s="265">
        <v>0</v>
      </c>
      <c r="H91" s="265">
        <v>0</v>
      </c>
      <c r="I91" s="54">
        <f t="shared" si="5"/>
        <v>0</v>
      </c>
    </row>
    <row r="92" spans="1:9" x14ac:dyDescent="0.25">
      <c r="A92" s="75">
        <v>5200</v>
      </c>
      <c r="B92" s="46" t="str">
        <f t="shared" si="6"/>
        <v>3</v>
      </c>
      <c r="C92" s="75">
        <v>370</v>
      </c>
      <c r="D92" s="15" t="s">
        <v>93</v>
      </c>
      <c r="E92" s="265">
        <v>0</v>
      </c>
      <c r="F92" s="265">
        <v>0</v>
      </c>
      <c r="G92" s="265">
        <v>0</v>
      </c>
      <c r="H92" s="265">
        <v>0</v>
      </c>
      <c r="I92" s="54">
        <f t="shared" si="5"/>
        <v>0</v>
      </c>
    </row>
    <row r="93" spans="1:9" x14ac:dyDescent="0.25">
      <c r="A93" s="75">
        <v>5200</v>
      </c>
      <c r="B93" s="46" t="str">
        <f t="shared" si="6"/>
        <v>3</v>
      </c>
      <c r="C93" s="75">
        <v>380</v>
      </c>
      <c r="D93" s="15" t="s">
        <v>117</v>
      </c>
      <c r="E93" s="265">
        <v>0</v>
      </c>
      <c r="F93" s="265">
        <v>0</v>
      </c>
      <c r="G93" s="265">
        <v>0</v>
      </c>
      <c r="H93" s="265">
        <v>0</v>
      </c>
      <c r="I93" s="54">
        <f t="shared" si="5"/>
        <v>0</v>
      </c>
    </row>
    <row r="94" spans="1:9" x14ac:dyDescent="0.25">
      <c r="A94" s="75">
        <v>5200</v>
      </c>
      <c r="B94" s="46" t="str">
        <f t="shared" si="6"/>
        <v>3</v>
      </c>
      <c r="C94" s="75">
        <v>390</v>
      </c>
      <c r="D94" s="15" t="s">
        <v>118</v>
      </c>
      <c r="E94" s="265">
        <v>0</v>
      </c>
      <c r="F94" s="265">
        <v>0</v>
      </c>
      <c r="G94" s="265">
        <v>0</v>
      </c>
      <c r="H94" s="265">
        <v>0</v>
      </c>
      <c r="I94" s="54">
        <f t="shared" si="5"/>
        <v>0</v>
      </c>
    </row>
    <row r="95" spans="1:9" x14ac:dyDescent="0.25">
      <c r="A95" s="75">
        <v>5200</v>
      </c>
      <c r="B95" s="46" t="str">
        <f t="shared" si="6"/>
        <v>4</v>
      </c>
      <c r="C95" s="75">
        <v>430</v>
      </c>
      <c r="D95" s="15" t="s">
        <v>119</v>
      </c>
      <c r="E95" s="265">
        <v>0</v>
      </c>
      <c r="F95" s="265">
        <v>0</v>
      </c>
      <c r="G95" s="265">
        <v>0</v>
      </c>
      <c r="H95" s="265">
        <v>0</v>
      </c>
      <c r="I95" s="54">
        <f t="shared" si="5"/>
        <v>0</v>
      </c>
    </row>
    <row r="96" spans="1:9" x14ac:dyDescent="0.25">
      <c r="A96" s="75">
        <v>5200</v>
      </c>
      <c r="B96" s="46" t="str">
        <f t="shared" si="6"/>
        <v>5</v>
      </c>
      <c r="C96" s="75">
        <v>510</v>
      </c>
      <c r="D96" s="15" t="s">
        <v>94</v>
      </c>
      <c r="E96" s="265">
        <v>4500</v>
      </c>
      <c r="F96" s="265">
        <v>0</v>
      </c>
      <c r="G96" s="265">
        <v>0</v>
      </c>
      <c r="H96" s="265">
        <v>0</v>
      </c>
      <c r="I96" s="54">
        <f t="shared" si="5"/>
        <v>4500</v>
      </c>
    </row>
    <row r="97" spans="1:9" x14ac:dyDescent="0.25">
      <c r="A97" s="75">
        <v>5200</v>
      </c>
      <c r="B97" s="46" t="str">
        <f t="shared" si="6"/>
        <v>5</v>
      </c>
      <c r="C97" s="75">
        <v>520</v>
      </c>
      <c r="D97" s="15" t="s">
        <v>95</v>
      </c>
      <c r="E97" s="265">
        <v>0</v>
      </c>
      <c r="F97" s="265">
        <v>0</v>
      </c>
      <c r="G97" s="265">
        <v>0</v>
      </c>
      <c r="H97" s="265">
        <v>0</v>
      </c>
      <c r="I97" s="54">
        <f t="shared" si="5"/>
        <v>0</v>
      </c>
    </row>
    <row r="98" spans="1:9" x14ac:dyDescent="0.25">
      <c r="A98" s="75">
        <v>5200</v>
      </c>
      <c r="B98" s="46" t="str">
        <f t="shared" si="6"/>
        <v>5</v>
      </c>
      <c r="C98" s="75">
        <v>530</v>
      </c>
      <c r="D98" s="15" t="s">
        <v>120</v>
      </c>
      <c r="E98" s="265">
        <v>0</v>
      </c>
      <c r="F98" s="265">
        <v>0</v>
      </c>
      <c r="G98" s="265">
        <v>0</v>
      </c>
      <c r="H98" s="265">
        <v>0</v>
      </c>
      <c r="I98" s="54">
        <f t="shared" si="5"/>
        <v>0</v>
      </c>
    </row>
    <row r="99" spans="1:9" x14ac:dyDescent="0.25">
      <c r="A99" s="75">
        <v>5200</v>
      </c>
      <c r="B99" s="46" t="str">
        <f t="shared" si="6"/>
        <v>5</v>
      </c>
      <c r="C99" s="75">
        <v>570</v>
      </c>
      <c r="D99" s="15" t="s">
        <v>85</v>
      </c>
      <c r="E99" s="265">
        <v>0</v>
      </c>
      <c r="F99" s="265">
        <v>0</v>
      </c>
      <c r="G99" s="265">
        <v>0</v>
      </c>
      <c r="H99" s="265">
        <v>0</v>
      </c>
      <c r="I99" s="54">
        <f t="shared" si="5"/>
        <v>0</v>
      </c>
    </row>
    <row r="100" spans="1:9" x14ac:dyDescent="0.25">
      <c r="A100" s="75">
        <v>5200</v>
      </c>
      <c r="B100" s="46" t="str">
        <f t="shared" si="6"/>
        <v>5</v>
      </c>
      <c r="C100" s="75">
        <v>590</v>
      </c>
      <c r="D100" s="15" t="s">
        <v>121</v>
      </c>
      <c r="E100" s="265">
        <v>0</v>
      </c>
      <c r="F100" s="265">
        <v>0</v>
      </c>
      <c r="G100" s="265">
        <v>0</v>
      </c>
      <c r="H100" s="265">
        <v>0</v>
      </c>
      <c r="I100" s="54">
        <f t="shared" si="5"/>
        <v>0</v>
      </c>
    </row>
    <row r="101" spans="1:9" x14ac:dyDescent="0.25">
      <c r="A101" s="75">
        <v>5200</v>
      </c>
      <c r="B101" s="46" t="str">
        <f t="shared" si="6"/>
        <v>6</v>
      </c>
      <c r="C101" s="75">
        <v>610</v>
      </c>
      <c r="D101" s="15" t="s">
        <v>122</v>
      </c>
      <c r="E101" s="265">
        <v>0</v>
      </c>
      <c r="F101" s="265">
        <v>0</v>
      </c>
      <c r="G101" s="265">
        <v>0</v>
      </c>
      <c r="H101" s="265">
        <v>0</v>
      </c>
      <c r="I101" s="54">
        <f t="shared" si="5"/>
        <v>0</v>
      </c>
    </row>
    <row r="102" spans="1:9" x14ac:dyDescent="0.25">
      <c r="A102" s="75">
        <v>5200</v>
      </c>
      <c r="B102" s="46" t="str">
        <f t="shared" si="6"/>
        <v>6</v>
      </c>
      <c r="C102" s="75">
        <v>621</v>
      </c>
      <c r="D102" s="15" t="s">
        <v>123</v>
      </c>
      <c r="E102" s="265">
        <v>0</v>
      </c>
      <c r="F102" s="265">
        <v>0</v>
      </c>
      <c r="G102" s="265">
        <v>0</v>
      </c>
      <c r="H102" s="265">
        <v>0</v>
      </c>
      <c r="I102" s="54">
        <f t="shared" si="5"/>
        <v>0</v>
      </c>
    </row>
    <row r="103" spans="1:9" x14ac:dyDescent="0.25">
      <c r="A103" s="75">
        <v>5200</v>
      </c>
      <c r="B103" s="46" t="str">
        <f t="shared" si="6"/>
        <v>6</v>
      </c>
      <c r="C103" s="75">
        <v>622</v>
      </c>
      <c r="D103" s="15" t="s">
        <v>124</v>
      </c>
      <c r="E103" s="265">
        <v>0</v>
      </c>
      <c r="F103" s="265">
        <v>0</v>
      </c>
      <c r="G103" s="265">
        <v>0</v>
      </c>
      <c r="H103" s="265">
        <v>0</v>
      </c>
      <c r="I103" s="54">
        <f t="shared" si="5"/>
        <v>0</v>
      </c>
    </row>
    <row r="104" spans="1:9" x14ac:dyDescent="0.25">
      <c r="A104" s="75">
        <v>5200</v>
      </c>
      <c r="B104" s="46" t="str">
        <f t="shared" si="6"/>
        <v>6</v>
      </c>
      <c r="C104" s="75">
        <v>630</v>
      </c>
      <c r="D104" s="15" t="s">
        <v>125</v>
      </c>
      <c r="E104" s="265">
        <v>0</v>
      </c>
      <c r="F104" s="265">
        <v>0</v>
      </c>
      <c r="G104" s="265">
        <v>0</v>
      </c>
      <c r="H104" s="265">
        <v>0</v>
      </c>
      <c r="I104" s="54">
        <f t="shared" si="5"/>
        <v>0</v>
      </c>
    </row>
    <row r="105" spans="1:9" x14ac:dyDescent="0.25">
      <c r="A105" s="75">
        <v>5200</v>
      </c>
      <c r="B105" s="46" t="str">
        <f t="shared" si="6"/>
        <v>6</v>
      </c>
      <c r="C105" s="75">
        <v>641</v>
      </c>
      <c r="D105" s="15" t="s">
        <v>126</v>
      </c>
      <c r="E105" s="265">
        <v>0</v>
      </c>
      <c r="F105" s="265">
        <v>0</v>
      </c>
      <c r="G105" s="265">
        <v>0</v>
      </c>
      <c r="H105" s="265">
        <v>0</v>
      </c>
      <c r="I105" s="54">
        <f t="shared" si="5"/>
        <v>0</v>
      </c>
    </row>
    <row r="106" spans="1:9" x14ac:dyDescent="0.25">
      <c r="A106" s="75">
        <v>5200</v>
      </c>
      <c r="B106" s="46" t="str">
        <f t="shared" si="6"/>
        <v>6</v>
      </c>
      <c r="C106" s="75">
        <v>642</v>
      </c>
      <c r="D106" s="15" t="s">
        <v>127</v>
      </c>
      <c r="E106" s="265">
        <v>0</v>
      </c>
      <c r="F106" s="265">
        <v>0</v>
      </c>
      <c r="G106" s="265">
        <v>0</v>
      </c>
      <c r="H106" s="265">
        <v>0</v>
      </c>
      <c r="I106" s="54">
        <f t="shared" si="5"/>
        <v>0</v>
      </c>
    </row>
    <row r="107" spans="1:9" x14ac:dyDescent="0.25">
      <c r="A107" s="75">
        <v>5200</v>
      </c>
      <c r="B107" s="46" t="str">
        <f t="shared" si="6"/>
        <v>6</v>
      </c>
      <c r="C107" s="75">
        <v>643</v>
      </c>
      <c r="D107" s="15" t="s">
        <v>128</v>
      </c>
      <c r="E107" s="265">
        <v>0</v>
      </c>
      <c r="F107" s="265">
        <v>0</v>
      </c>
      <c r="G107" s="265">
        <v>0</v>
      </c>
      <c r="H107" s="265">
        <v>0</v>
      </c>
      <c r="I107" s="54">
        <f t="shared" si="5"/>
        <v>0</v>
      </c>
    </row>
    <row r="108" spans="1:9" x14ac:dyDescent="0.25">
      <c r="A108" s="75">
        <v>5200</v>
      </c>
      <c r="B108" s="46" t="str">
        <f t="shared" si="6"/>
        <v>6</v>
      </c>
      <c r="C108" s="75">
        <v>644</v>
      </c>
      <c r="D108" s="15" t="s">
        <v>129</v>
      </c>
      <c r="E108" s="265">
        <v>0</v>
      </c>
      <c r="F108" s="265">
        <v>0</v>
      </c>
      <c r="G108" s="265">
        <v>0</v>
      </c>
      <c r="H108" s="265">
        <v>0</v>
      </c>
      <c r="I108" s="54">
        <f t="shared" si="5"/>
        <v>0</v>
      </c>
    </row>
    <row r="109" spans="1:9" x14ac:dyDescent="0.25">
      <c r="A109" s="75">
        <v>5200</v>
      </c>
      <c r="B109" s="46" t="str">
        <f t="shared" si="6"/>
        <v>6</v>
      </c>
      <c r="C109" s="75">
        <v>680</v>
      </c>
      <c r="D109" s="15" t="s">
        <v>130</v>
      </c>
      <c r="E109" s="265">
        <v>0</v>
      </c>
      <c r="F109" s="265">
        <v>0</v>
      </c>
      <c r="G109" s="265">
        <v>0</v>
      </c>
      <c r="H109" s="265">
        <v>0</v>
      </c>
      <c r="I109" s="54">
        <f t="shared" si="5"/>
        <v>0</v>
      </c>
    </row>
    <row r="110" spans="1:9" x14ac:dyDescent="0.25">
      <c r="A110" s="75">
        <v>5200</v>
      </c>
      <c r="B110" s="46" t="str">
        <f t="shared" si="6"/>
        <v>6</v>
      </c>
      <c r="C110" s="75">
        <v>690</v>
      </c>
      <c r="D110" s="15" t="s">
        <v>131</v>
      </c>
      <c r="E110" s="265">
        <v>0</v>
      </c>
      <c r="F110" s="265">
        <v>0</v>
      </c>
      <c r="G110" s="265">
        <v>0</v>
      </c>
      <c r="H110" s="265">
        <v>0</v>
      </c>
      <c r="I110" s="54">
        <f t="shared" si="5"/>
        <v>0</v>
      </c>
    </row>
    <row r="111" spans="1:9" x14ac:dyDescent="0.25">
      <c r="A111" s="75">
        <v>5200</v>
      </c>
      <c r="B111" s="46" t="str">
        <f t="shared" si="6"/>
        <v>7</v>
      </c>
      <c r="C111" s="75">
        <v>720</v>
      </c>
      <c r="D111" s="15" t="s">
        <v>132</v>
      </c>
      <c r="E111" s="265">
        <v>0</v>
      </c>
      <c r="F111" s="265">
        <v>0</v>
      </c>
      <c r="G111" s="265">
        <v>0</v>
      </c>
      <c r="H111" s="265">
        <v>0</v>
      </c>
      <c r="I111" s="54">
        <f t="shared" si="5"/>
        <v>0</v>
      </c>
    </row>
    <row r="112" spans="1:9" x14ac:dyDescent="0.25">
      <c r="A112" s="75">
        <v>5200</v>
      </c>
      <c r="B112" s="46" t="str">
        <f t="shared" si="6"/>
        <v>7</v>
      </c>
      <c r="C112" s="75">
        <v>730</v>
      </c>
      <c r="D112" s="15" t="s">
        <v>133</v>
      </c>
      <c r="E112" s="265">
        <v>0</v>
      </c>
      <c r="F112" s="265">
        <v>0</v>
      </c>
      <c r="G112" s="265">
        <v>0</v>
      </c>
      <c r="H112" s="265">
        <v>0</v>
      </c>
      <c r="I112" s="54">
        <f t="shared" si="5"/>
        <v>0</v>
      </c>
    </row>
    <row r="113" spans="1:9" x14ac:dyDescent="0.25">
      <c r="A113" s="75">
        <v>5200</v>
      </c>
      <c r="B113" s="46" t="str">
        <f t="shared" si="6"/>
        <v>7</v>
      </c>
      <c r="C113" s="75">
        <v>750</v>
      </c>
      <c r="D113" s="15" t="s">
        <v>134</v>
      </c>
      <c r="E113" s="265">
        <v>0</v>
      </c>
      <c r="F113" s="265">
        <v>0</v>
      </c>
      <c r="G113" s="265">
        <v>0</v>
      </c>
      <c r="H113" s="265">
        <v>0</v>
      </c>
      <c r="I113" s="54">
        <f t="shared" si="5"/>
        <v>0</v>
      </c>
    </row>
    <row r="114" spans="1:9" x14ac:dyDescent="0.25">
      <c r="A114" s="75">
        <v>5200</v>
      </c>
      <c r="B114" s="46" t="str">
        <f t="shared" si="6"/>
        <v>7</v>
      </c>
      <c r="C114" s="75">
        <v>790</v>
      </c>
      <c r="D114" s="15" t="s">
        <v>135</v>
      </c>
      <c r="E114" s="265">
        <v>0</v>
      </c>
      <c r="F114" s="265">
        <v>0</v>
      </c>
      <c r="G114" s="265">
        <v>0</v>
      </c>
      <c r="H114" s="265">
        <v>0</v>
      </c>
      <c r="I114" s="54">
        <f t="shared" si="5"/>
        <v>0</v>
      </c>
    </row>
    <row r="115" spans="1:9" ht="15.5" x14ac:dyDescent="0.35">
      <c r="B115" s="46">
        <v>5000</v>
      </c>
      <c r="D115" s="76" t="s">
        <v>147</v>
      </c>
      <c r="E115" s="77">
        <f>SUM(E75:E114)</f>
        <v>84300</v>
      </c>
      <c r="F115" s="77">
        <f>SUM(F75:F114)</f>
        <v>0</v>
      </c>
      <c r="G115" s="77">
        <f>SUM(G75:G114)</f>
        <v>0</v>
      </c>
      <c r="H115" s="77">
        <f>SUM(H75:H114)</f>
        <v>0</v>
      </c>
      <c r="I115" s="77">
        <f>SUM(I75:I114)</f>
        <v>84300</v>
      </c>
    </row>
    <row r="116" spans="1:9" ht="18.5" x14ac:dyDescent="0.45">
      <c r="A116" s="48" t="s">
        <v>148</v>
      </c>
      <c r="B116" s="49"/>
      <c r="C116" s="50"/>
      <c r="D116" s="50"/>
      <c r="E116" s="74"/>
      <c r="F116" s="74"/>
      <c r="G116" s="74"/>
      <c r="H116" s="74"/>
      <c r="I116" s="74"/>
    </row>
    <row r="117" spans="1:9" ht="12.65" customHeight="1" x14ac:dyDescent="0.25">
      <c r="A117" s="75">
        <v>6100</v>
      </c>
      <c r="B117" s="46" t="str">
        <f>LEFT(C117,1)</f>
        <v>1</v>
      </c>
      <c r="C117" s="75">
        <v>110</v>
      </c>
      <c r="D117" s="15" t="s">
        <v>102</v>
      </c>
      <c r="E117" s="265">
        <v>0</v>
      </c>
      <c r="F117" s="265">
        <v>0</v>
      </c>
      <c r="G117" s="265">
        <v>0</v>
      </c>
      <c r="H117" s="265">
        <v>0</v>
      </c>
      <c r="I117" s="54">
        <f t="shared" ref="I117:I156" si="7">SUM(E117:H117)</f>
        <v>0</v>
      </c>
    </row>
    <row r="118" spans="1:9" ht="12.65" customHeight="1" x14ac:dyDescent="0.25">
      <c r="A118" s="75">
        <v>6100</v>
      </c>
      <c r="B118" s="46" t="str">
        <f t="shared" ref="B118:B156" si="8">LEFT(C118,1)</f>
        <v>1</v>
      </c>
      <c r="C118" s="75">
        <v>120</v>
      </c>
      <c r="D118" s="15" t="s">
        <v>103</v>
      </c>
      <c r="E118" s="265">
        <v>0</v>
      </c>
      <c r="F118" s="265">
        <v>0</v>
      </c>
      <c r="G118" s="265">
        <v>0</v>
      </c>
      <c r="H118" s="265">
        <v>0</v>
      </c>
      <c r="I118" s="54">
        <f t="shared" si="7"/>
        <v>0</v>
      </c>
    </row>
    <row r="119" spans="1:9" ht="12.65" customHeight="1" x14ac:dyDescent="0.25">
      <c r="A119" s="75">
        <v>6100</v>
      </c>
      <c r="B119" s="46" t="str">
        <f t="shared" si="8"/>
        <v>1</v>
      </c>
      <c r="C119" s="75">
        <v>130</v>
      </c>
      <c r="D119" s="15" t="s">
        <v>104</v>
      </c>
      <c r="E119" s="265">
        <v>55000</v>
      </c>
      <c r="F119" s="265">
        <v>0</v>
      </c>
      <c r="G119" s="265">
        <v>0</v>
      </c>
      <c r="H119" s="265">
        <v>0</v>
      </c>
      <c r="I119" s="54">
        <f t="shared" si="7"/>
        <v>55000</v>
      </c>
    </row>
    <row r="120" spans="1:9" ht="12.65" customHeight="1" x14ac:dyDescent="0.25">
      <c r="A120" s="75">
        <v>6100</v>
      </c>
      <c r="B120" s="46" t="str">
        <f t="shared" si="8"/>
        <v>1</v>
      </c>
      <c r="C120" s="75">
        <v>140</v>
      </c>
      <c r="D120" s="15" t="s">
        <v>105</v>
      </c>
      <c r="E120" s="265">
        <v>0</v>
      </c>
      <c r="F120" s="265">
        <v>0</v>
      </c>
      <c r="G120" s="265">
        <v>0</v>
      </c>
      <c r="H120" s="265">
        <v>0</v>
      </c>
      <c r="I120" s="54">
        <f t="shared" si="7"/>
        <v>0</v>
      </c>
    </row>
    <row r="121" spans="1:9" ht="12.65" customHeight="1" x14ac:dyDescent="0.25">
      <c r="A121" s="75">
        <v>6100</v>
      </c>
      <c r="B121" s="46" t="str">
        <f t="shared" si="8"/>
        <v>1</v>
      </c>
      <c r="C121" s="75">
        <v>150</v>
      </c>
      <c r="D121" s="15" t="s">
        <v>106</v>
      </c>
      <c r="E121" s="265">
        <v>0</v>
      </c>
      <c r="F121" s="265">
        <v>0</v>
      </c>
      <c r="G121" s="265">
        <v>0</v>
      </c>
      <c r="H121" s="265">
        <v>0</v>
      </c>
      <c r="I121" s="54">
        <f t="shared" si="7"/>
        <v>0</v>
      </c>
    </row>
    <row r="122" spans="1:9" ht="12.65" customHeight="1" x14ac:dyDescent="0.25">
      <c r="A122" s="75">
        <v>6100</v>
      </c>
      <c r="B122" s="46" t="str">
        <f t="shared" si="8"/>
        <v>1</v>
      </c>
      <c r="C122" s="75">
        <v>160</v>
      </c>
      <c r="D122" s="15" t="s">
        <v>107</v>
      </c>
      <c r="E122" s="265">
        <v>0</v>
      </c>
      <c r="F122" s="265">
        <v>0</v>
      </c>
      <c r="G122" s="265">
        <v>0</v>
      </c>
      <c r="H122" s="265">
        <v>0</v>
      </c>
      <c r="I122" s="54">
        <f t="shared" si="7"/>
        <v>0</v>
      </c>
    </row>
    <row r="123" spans="1:9" ht="12.65" customHeight="1" x14ac:dyDescent="0.25">
      <c r="A123" s="75">
        <v>6100</v>
      </c>
      <c r="B123" s="46" t="str">
        <f t="shared" si="8"/>
        <v>2</v>
      </c>
      <c r="C123" s="75">
        <v>210</v>
      </c>
      <c r="D123" s="15" t="s">
        <v>108</v>
      </c>
      <c r="E123" s="265">
        <v>0</v>
      </c>
      <c r="F123" s="265">
        <v>0</v>
      </c>
      <c r="G123" s="265">
        <v>0</v>
      </c>
      <c r="H123" s="265">
        <v>0</v>
      </c>
      <c r="I123" s="54">
        <f t="shared" si="7"/>
        <v>0</v>
      </c>
    </row>
    <row r="124" spans="1:9" ht="12.65" customHeight="1" x14ac:dyDescent="0.25">
      <c r="A124" s="75">
        <v>6100</v>
      </c>
      <c r="B124" s="46" t="str">
        <f t="shared" si="8"/>
        <v>2</v>
      </c>
      <c r="C124" s="75">
        <v>220</v>
      </c>
      <c r="D124" s="15" t="s">
        <v>109</v>
      </c>
      <c r="E124" s="265">
        <f>55000*0.08</f>
        <v>4400</v>
      </c>
      <c r="F124" s="265">
        <v>0</v>
      </c>
      <c r="G124" s="265">
        <v>0</v>
      </c>
      <c r="H124" s="265">
        <v>0</v>
      </c>
      <c r="I124" s="54">
        <f t="shared" si="7"/>
        <v>4400</v>
      </c>
    </row>
    <row r="125" spans="1:9" ht="12.65" customHeight="1" x14ac:dyDescent="0.25">
      <c r="A125" s="75">
        <v>6100</v>
      </c>
      <c r="B125" s="46" t="str">
        <f t="shared" si="8"/>
        <v>2</v>
      </c>
      <c r="C125" s="75">
        <v>230</v>
      </c>
      <c r="D125" s="15" t="s">
        <v>110</v>
      </c>
      <c r="E125" s="265">
        <v>3500</v>
      </c>
      <c r="F125" s="265">
        <v>0</v>
      </c>
      <c r="G125" s="265">
        <v>0</v>
      </c>
      <c r="H125" s="265">
        <v>0</v>
      </c>
      <c r="I125" s="54">
        <f t="shared" si="7"/>
        <v>3500</v>
      </c>
    </row>
    <row r="126" spans="1:9" ht="12.65" customHeight="1" x14ac:dyDescent="0.25">
      <c r="A126" s="75">
        <v>6100</v>
      </c>
      <c r="B126" s="46" t="str">
        <f t="shared" si="8"/>
        <v>2</v>
      </c>
      <c r="C126" s="75">
        <v>240</v>
      </c>
      <c r="D126" s="15" t="s">
        <v>111</v>
      </c>
      <c r="E126" s="265">
        <v>500</v>
      </c>
      <c r="F126" s="265">
        <v>0</v>
      </c>
      <c r="G126" s="265">
        <v>0</v>
      </c>
      <c r="H126" s="265">
        <v>0</v>
      </c>
      <c r="I126" s="54">
        <f t="shared" si="7"/>
        <v>500</v>
      </c>
    </row>
    <row r="127" spans="1:9" ht="12.65" customHeight="1" x14ac:dyDescent="0.25">
      <c r="A127" s="75">
        <v>6100</v>
      </c>
      <c r="B127" s="46" t="str">
        <f t="shared" si="8"/>
        <v>2</v>
      </c>
      <c r="C127" s="75">
        <v>250</v>
      </c>
      <c r="D127" s="15" t="s">
        <v>112</v>
      </c>
      <c r="E127" s="265">
        <v>500</v>
      </c>
      <c r="F127" s="265">
        <v>0</v>
      </c>
      <c r="G127" s="265">
        <v>0</v>
      </c>
      <c r="H127" s="265">
        <v>0</v>
      </c>
      <c r="I127" s="54">
        <f t="shared" si="7"/>
        <v>500</v>
      </c>
    </row>
    <row r="128" spans="1:9" ht="12.65" customHeight="1" x14ac:dyDescent="0.25">
      <c r="A128" s="75">
        <v>6100</v>
      </c>
      <c r="B128" s="46" t="str">
        <f t="shared" si="8"/>
        <v>2</v>
      </c>
      <c r="C128" s="75">
        <v>290</v>
      </c>
      <c r="D128" s="15" t="s">
        <v>113</v>
      </c>
      <c r="E128" s="265">
        <v>0</v>
      </c>
      <c r="F128" s="265">
        <v>0</v>
      </c>
      <c r="G128" s="265">
        <v>0</v>
      </c>
      <c r="H128" s="265">
        <v>0</v>
      </c>
      <c r="I128" s="54">
        <f t="shared" si="7"/>
        <v>0</v>
      </c>
    </row>
    <row r="129" spans="1:9" x14ac:dyDescent="0.25">
      <c r="A129" s="75">
        <v>6100</v>
      </c>
      <c r="B129" s="46" t="str">
        <f t="shared" si="8"/>
        <v>3</v>
      </c>
      <c r="C129" s="75">
        <v>310</v>
      </c>
      <c r="D129" s="15" t="s">
        <v>114</v>
      </c>
      <c r="E129" s="265">
        <v>0</v>
      </c>
      <c r="F129" s="265">
        <v>0</v>
      </c>
      <c r="G129" s="265">
        <v>0</v>
      </c>
      <c r="H129" s="265">
        <v>0</v>
      </c>
      <c r="I129" s="54">
        <f t="shared" si="7"/>
        <v>0</v>
      </c>
    </row>
    <row r="130" spans="1:9" x14ac:dyDescent="0.25">
      <c r="A130" s="75">
        <v>6100</v>
      </c>
      <c r="B130" s="46" t="str">
        <f t="shared" si="8"/>
        <v>3</v>
      </c>
      <c r="C130" s="75">
        <v>320</v>
      </c>
      <c r="D130" s="15" t="s">
        <v>115</v>
      </c>
      <c r="E130" s="265">
        <v>0</v>
      </c>
      <c r="F130" s="265">
        <v>0</v>
      </c>
      <c r="G130" s="265">
        <v>0</v>
      </c>
      <c r="H130" s="265">
        <v>0</v>
      </c>
      <c r="I130" s="54">
        <f t="shared" si="7"/>
        <v>0</v>
      </c>
    </row>
    <row r="131" spans="1:9" x14ac:dyDescent="0.25">
      <c r="A131" s="75">
        <v>6100</v>
      </c>
      <c r="B131" s="46" t="str">
        <f t="shared" si="8"/>
        <v>3</v>
      </c>
      <c r="C131" s="75">
        <v>330</v>
      </c>
      <c r="D131" s="15" t="s">
        <v>84</v>
      </c>
      <c r="E131" s="265">
        <v>0</v>
      </c>
      <c r="F131" s="265">
        <v>0</v>
      </c>
      <c r="G131" s="265">
        <v>0</v>
      </c>
      <c r="H131" s="265">
        <v>0</v>
      </c>
      <c r="I131" s="54">
        <f t="shared" si="7"/>
        <v>0</v>
      </c>
    </row>
    <row r="132" spans="1:9" x14ac:dyDescent="0.25">
      <c r="A132" s="75">
        <v>6100</v>
      </c>
      <c r="B132" s="46" t="str">
        <f t="shared" si="8"/>
        <v>3</v>
      </c>
      <c r="C132" s="75">
        <v>350</v>
      </c>
      <c r="D132" s="15" t="s">
        <v>116</v>
      </c>
      <c r="E132" s="265">
        <v>0</v>
      </c>
      <c r="F132" s="265">
        <v>0</v>
      </c>
      <c r="G132" s="265">
        <v>0</v>
      </c>
      <c r="H132" s="265">
        <v>0</v>
      </c>
      <c r="I132" s="54">
        <f t="shared" si="7"/>
        <v>0</v>
      </c>
    </row>
    <row r="133" spans="1:9" x14ac:dyDescent="0.25">
      <c r="A133" s="75">
        <v>6100</v>
      </c>
      <c r="B133" s="46" t="str">
        <f t="shared" si="8"/>
        <v>3</v>
      </c>
      <c r="C133" s="75">
        <v>360</v>
      </c>
      <c r="D133" s="15" t="s">
        <v>92</v>
      </c>
      <c r="E133" s="265">
        <v>0</v>
      </c>
      <c r="F133" s="265">
        <v>0</v>
      </c>
      <c r="G133" s="265">
        <v>0</v>
      </c>
      <c r="H133" s="265">
        <v>0</v>
      </c>
      <c r="I133" s="54">
        <f t="shared" si="7"/>
        <v>0</v>
      </c>
    </row>
    <row r="134" spans="1:9" x14ac:dyDescent="0.25">
      <c r="A134" s="75">
        <v>6100</v>
      </c>
      <c r="B134" s="46" t="str">
        <f t="shared" si="8"/>
        <v>3</v>
      </c>
      <c r="C134" s="75">
        <v>370</v>
      </c>
      <c r="D134" s="15" t="s">
        <v>93</v>
      </c>
      <c r="E134" s="265">
        <v>0</v>
      </c>
      <c r="F134" s="265">
        <v>0</v>
      </c>
      <c r="G134" s="265">
        <v>0</v>
      </c>
      <c r="H134" s="265">
        <v>0</v>
      </c>
      <c r="I134" s="54">
        <f t="shared" si="7"/>
        <v>0</v>
      </c>
    </row>
    <row r="135" spans="1:9" x14ac:dyDescent="0.25">
      <c r="A135" s="75">
        <v>6100</v>
      </c>
      <c r="B135" s="46" t="str">
        <f t="shared" si="8"/>
        <v>3</v>
      </c>
      <c r="C135" s="75">
        <v>380</v>
      </c>
      <c r="D135" s="15" t="s">
        <v>117</v>
      </c>
      <c r="E135" s="265">
        <v>0</v>
      </c>
      <c r="F135" s="265">
        <v>0</v>
      </c>
      <c r="G135" s="265">
        <v>0</v>
      </c>
      <c r="H135" s="265">
        <v>0</v>
      </c>
      <c r="I135" s="54">
        <f t="shared" si="7"/>
        <v>0</v>
      </c>
    </row>
    <row r="136" spans="1:9" x14ac:dyDescent="0.25">
      <c r="A136" s="75">
        <v>6100</v>
      </c>
      <c r="B136" s="46" t="str">
        <f t="shared" si="8"/>
        <v>3</v>
      </c>
      <c r="C136" s="75">
        <v>390</v>
      </c>
      <c r="D136" s="15" t="s">
        <v>118</v>
      </c>
      <c r="E136" s="265">
        <v>0</v>
      </c>
      <c r="F136" s="265">
        <v>0</v>
      </c>
      <c r="G136" s="265">
        <v>0</v>
      </c>
      <c r="H136" s="265">
        <v>0</v>
      </c>
      <c r="I136" s="54">
        <f t="shared" si="7"/>
        <v>0</v>
      </c>
    </row>
    <row r="137" spans="1:9" x14ac:dyDescent="0.25">
      <c r="A137" s="75">
        <v>6100</v>
      </c>
      <c r="B137" s="46" t="str">
        <f t="shared" si="8"/>
        <v>4</v>
      </c>
      <c r="C137" s="75">
        <v>430</v>
      </c>
      <c r="D137" s="15" t="s">
        <v>119</v>
      </c>
      <c r="E137" s="265">
        <v>0</v>
      </c>
      <c r="F137" s="265">
        <v>0</v>
      </c>
      <c r="G137" s="265">
        <v>0</v>
      </c>
      <c r="H137" s="265">
        <v>0</v>
      </c>
      <c r="I137" s="54">
        <f t="shared" si="7"/>
        <v>0</v>
      </c>
    </row>
    <row r="138" spans="1:9" x14ac:dyDescent="0.25">
      <c r="A138" s="75">
        <v>6100</v>
      </c>
      <c r="B138" s="46" t="str">
        <f t="shared" si="8"/>
        <v>5</v>
      </c>
      <c r="C138" s="75">
        <v>510</v>
      </c>
      <c r="D138" s="15" t="s">
        <v>94</v>
      </c>
      <c r="E138" s="265">
        <v>0</v>
      </c>
      <c r="F138" s="265">
        <v>0</v>
      </c>
      <c r="G138" s="265">
        <v>0</v>
      </c>
      <c r="H138" s="265">
        <v>0</v>
      </c>
      <c r="I138" s="54">
        <f t="shared" si="7"/>
        <v>0</v>
      </c>
    </row>
    <row r="139" spans="1:9" x14ac:dyDescent="0.25">
      <c r="A139" s="75">
        <v>6100</v>
      </c>
      <c r="B139" s="46" t="str">
        <f t="shared" si="8"/>
        <v>5</v>
      </c>
      <c r="C139" s="75">
        <v>520</v>
      </c>
      <c r="D139" s="15" t="s">
        <v>95</v>
      </c>
      <c r="E139" s="265">
        <v>0</v>
      </c>
      <c r="F139" s="265">
        <v>0</v>
      </c>
      <c r="G139" s="265">
        <v>0</v>
      </c>
      <c r="H139" s="265">
        <v>0</v>
      </c>
      <c r="I139" s="54">
        <f t="shared" si="7"/>
        <v>0</v>
      </c>
    </row>
    <row r="140" spans="1:9" x14ac:dyDescent="0.25">
      <c r="A140" s="75">
        <v>6100</v>
      </c>
      <c r="B140" s="46" t="str">
        <f t="shared" si="8"/>
        <v>5</v>
      </c>
      <c r="C140" s="75">
        <v>530</v>
      </c>
      <c r="D140" s="15" t="s">
        <v>120</v>
      </c>
      <c r="E140" s="265">
        <v>0</v>
      </c>
      <c r="F140" s="265">
        <v>0</v>
      </c>
      <c r="G140" s="265">
        <v>0</v>
      </c>
      <c r="H140" s="265">
        <v>0</v>
      </c>
      <c r="I140" s="54">
        <f t="shared" si="7"/>
        <v>0</v>
      </c>
    </row>
    <row r="141" spans="1:9" x14ac:dyDescent="0.25">
      <c r="A141" s="75">
        <v>6100</v>
      </c>
      <c r="B141" s="46" t="str">
        <f t="shared" si="8"/>
        <v>5</v>
      </c>
      <c r="C141" s="75">
        <v>570</v>
      </c>
      <c r="D141" s="15" t="s">
        <v>85</v>
      </c>
      <c r="E141" s="265">
        <v>0</v>
      </c>
      <c r="F141" s="265">
        <v>0</v>
      </c>
      <c r="G141" s="265">
        <v>0</v>
      </c>
      <c r="H141" s="265">
        <v>0</v>
      </c>
      <c r="I141" s="54">
        <f t="shared" si="7"/>
        <v>0</v>
      </c>
    </row>
    <row r="142" spans="1:9" x14ac:dyDescent="0.25">
      <c r="A142" s="75">
        <v>6100</v>
      </c>
      <c r="B142" s="46" t="str">
        <f t="shared" si="8"/>
        <v>5</v>
      </c>
      <c r="C142" s="75">
        <v>590</v>
      </c>
      <c r="D142" s="15" t="s">
        <v>121</v>
      </c>
      <c r="E142" s="265">
        <v>0</v>
      </c>
      <c r="F142" s="265">
        <v>0</v>
      </c>
      <c r="G142" s="265">
        <v>0</v>
      </c>
      <c r="H142" s="265">
        <v>0</v>
      </c>
      <c r="I142" s="54">
        <f t="shared" si="7"/>
        <v>0</v>
      </c>
    </row>
    <row r="143" spans="1:9" x14ac:dyDescent="0.25">
      <c r="A143" s="75">
        <v>6100</v>
      </c>
      <c r="B143" s="46" t="str">
        <f t="shared" si="8"/>
        <v>6</v>
      </c>
      <c r="C143" s="75">
        <v>610</v>
      </c>
      <c r="D143" s="15" t="s">
        <v>122</v>
      </c>
      <c r="E143" s="265">
        <v>0</v>
      </c>
      <c r="F143" s="265">
        <v>0</v>
      </c>
      <c r="G143" s="265">
        <v>0</v>
      </c>
      <c r="H143" s="265">
        <v>0</v>
      </c>
      <c r="I143" s="54">
        <f t="shared" si="7"/>
        <v>0</v>
      </c>
    </row>
    <row r="144" spans="1:9" x14ac:dyDescent="0.25">
      <c r="A144" s="75">
        <v>6100</v>
      </c>
      <c r="B144" s="46" t="str">
        <f t="shared" si="8"/>
        <v>6</v>
      </c>
      <c r="C144" s="75">
        <v>621</v>
      </c>
      <c r="D144" s="15" t="s">
        <v>123</v>
      </c>
      <c r="E144" s="265">
        <v>0</v>
      </c>
      <c r="F144" s="265">
        <v>0</v>
      </c>
      <c r="G144" s="265">
        <v>0</v>
      </c>
      <c r="H144" s="265">
        <v>0</v>
      </c>
      <c r="I144" s="54">
        <f t="shared" si="7"/>
        <v>0</v>
      </c>
    </row>
    <row r="145" spans="1:9" x14ac:dyDescent="0.25">
      <c r="A145" s="75">
        <v>6100</v>
      </c>
      <c r="B145" s="46" t="str">
        <f t="shared" si="8"/>
        <v>6</v>
      </c>
      <c r="C145" s="75">
        <v>622</v>
      </c>
      <c r="D145" s="15" t="s">
        <v>124</v>
      </c>
      <c r="E145" s="265">
        <v>0</v>
      </c>
      <c r="F145" s="265">
        <v>0</v>
      </c>
      <c r="G145" s="265">
        <v>0</v>
      </c>
      <c r="H145" s="265">
        <v>0</v>
      </c>
      <c r="I145" s="54">
        <f t="shared" si="7"/>
        <v>0</v>
      </c>
    </row>
    <row r="146" spans="1:9" x14ac:dyDescent="0.25">
      <c r="A146" s="75">
        <v>6100</v>
      </c>
      <c r="B146" s="46" t="str">
        <f t="shared" si="8"/>
        <v>6</v>
      </c>
      <c r="C146" s="75">
        <v>630</v>
      </c>
      <c r="D146" s="15" t="s">
        <v>125</v>
      </c>
      <c r="E146" s="265">
        <v>0</v>
      </c>
      <c r="F146" s="265">
        <v>0</v>
      </c>
      <c r="G146" s="265">
        <v>0</v>
      </c>
      <c r="H146" s="265">
        <v>0</v>
      </c>
      <c r="I146" s="54">
        <f t="shared" si="7"/>
        <v>0</v>
      </c>
    </row>
    <row r="147" spans="1:9" x14ac:dyDescent="0.25">
      <c r="A147" s="75">
        <v>6100</v>
      </c>
      <c r="B147" s="46" t="str">
        <f t="shared" si="8"/>
        <v>6</v>
      </c>
      <c r="C147" s="75">
        <v>641</v>
      </c>
      <c r="D147" s="15" t="s">
        <v>126</v>
      </c>
      <c r="E147" s="265">
        <v>0</v>
      </c>
      <c r="F147" s="265">
        <v>0</v>
      </c>
      <c r="G147" s="265">
        <v>0</v>
      </c>
      <c r="H147" s="265">
        <v>0</v>
      </c>
      <c r="I147" s="54">
        <f t="shared" si="7"/>
        <v>0</v>
      </c>
    </row>
    <row r="148" spans="1:9" x14ac:dyDescent="0.25">
      <c r="A148" s="75">
        <v>6100</v>
      </c>
      <c r="B148" s="46" t="str">
        <f t="shared" si="8"/>
        <v>6</v>
      </c>
      <c r="C148" s="75">
        <v>642</v>
      </c>
      <c r="D148" s="15" t="s">
        <v>127</v>
      </c>
      <c r="E148" s="265">
        <v>0</v>
      </c>
      <c r="F148" s="265">
        <v>0</v>
      </c>
      <c r="G148" s="265">
        <v>0</v>
      </c>
      <c r="H148" s="265">
        <v>0</v>
      </c>
      <c r="I148" s="54">
        <f t="shared" si="7"/>
        <v>0</v>
      </c>
    </row>
    <row r="149" spans="1:9" x14ac:dyDescent="0.25">
      <c r="A149" s="75">
        <v>6100</v>
      </c>
      <c r="B149" s="46" t="str">
        <f t="shared" si="8"/>
        <v>6</v>
      </c>
      <c r="C149" s="75">
        <v>643</v>
      </c>
      <c r="D149" s="15" t="s">
        <v>128</v>
      </c>
      <c r="E149" s="265">
        <v>0</v>
      </c>
      <c r="F149" s="265">
        <v>0</v>
      </c>
      <c r="G149" s="265">
        <v>0</v>
      </c>
      <c r="H149" s="265">
        <v>0</v>
      </c>
      <c r="I149" s="54">
        <f t="shared" si="7"/>
        <v>0</v>
      </c>
    </row>
    <row r="150" spans="1:9" x14ac:dyDescent="0.25">
      <c r="A150" s="75">
        <v>6100</v>
      </c>
      <c r="B150" s="46" t="str">
        <f t="shared" si="8"/>
        <v>6</v>
      </c>
      <c r="C150" s="75">
        <v>644</v>
      </c>
      <c r="D150" s="15" t="s">
        <v>129</v>
      </c>
      <c r="E150" s="265">
        <v>0</v>
      </c>
      <c r="F150" s="265">
        <v>0</v>
      </c>
      <c r="G150" s="265">
        <v>0</v>
      </c>
      <c r="H150" s="265">
        <v>0</v>
      </c>
      <c r="I150" s="54">
        <f t="shared" si="7"/>
        <v>0</v>
      </c>
    </row>
    <row r="151" spans="1:9" x14ac:dyDescent="0.25">
      <c r="A151" s="75">
        <v>6100</v>
      </c>
      <c r="B151" s="46" t="str">
        <f t="shared" si="8"/>
        <v>6</v>
      </c>
      <c r="C151" s="75">
        <v>680</v>
      </c>
      <c r="D151" s="15" t="s">
        <v>130</v>
      </c>
      <c r="E151" s="265">
        <v>0</v>
      </c>
      <c r="F151" s="265">
        <v>0</v>
      </c>
      <c r="G151" s="265">
        <v>0</v>
      </c>
      <c r="H151" s="265">
        <v>0</v>
      </c>
      <c r="I151" s="54">
        <f t="shared" si="7"/>
        <v>0</v>
      </c>
    </row>
    <row r="152" spans="1:9" x14ac:dyDescent="0.25">
      <c r="A152" s="75">
        <v>6100</v>
      </c>
      <c r="B152" s="46" t="str">
        <f t="shared" si="8"/>
        <v>6</v>
      </c>
      <c r="C152" s="75">
        <v>690</v>
      </c>
      <c r="D152" s="15" t="s">
        <v>131</v>
      </c>
      <c r="E152" s="265">
        <v>0</v>
      </c>
      <c r="F152" s="265">
        <v>0</v>
      </c>
      <c r="G152" s="265">
        <v>0</v>
      </c>
      <c r="H152" s="265">
        <v>0</v>
      </c>
      <c r="I152" s="54">
        <f t="shared" si="7"/>
        <v>0</v>
      </c>
    </row>
    <row r="153" spans="1:9" x14ac:dyDescent="0.25">
      <c r="A153" s="75">
        <v>6100</v>
      </c>
      <c r="B153" s="46" t="str">
        <f t="shared" si="8"/>
        <v>7</v>
      </c>
      <c r="C153" s="75">
        <v>720</v>
      </c>
      <c r="D153" s="15" t="s">
        <v>132</v>
      </c>
      <c r="E153" s="265">
        <v>0</v>
      </c>
      <c r="F153" s="265">
        <v>0</v>
      </c>
      <c r="G153" s="265">
        <v>0</v>
      </c>
      <c r="H153" s="265">
        <v>0</v>
      </c>
      <c r="I153" s="54">
        <f t="shared" si="7"/>
        <v>0</v>
      </c>
    </row>
    <row r="154" spans="1:9" x14ac:dyDescent="0.25">
      <c r="A154" s="75">
        <v>6100</v>
      </c>
      <c r="B154" s="46" t="str">
        <f t="shared" si="8"/>
        <v>7</v>
      </c>
      <c r="C154" s="75">
        <v>730</v>
      </c>
      <c r="D154" s="15" t="s">
        <v>133</v>
      </c>
      <c r="E154" s="265">
        <v>0</v>
      </c>
      <c r="F154" s="265">
        <v>0</v>
      </c>
      <c r="G154" s="265">
        <v>0</v>
      </c>
      <c r="H154" s="265">
        <v>0</v>
      </c>
      <c r="I154" s="54">
        <f t="shared" si="7"/>
        <v>0</v>
      </c>
    </row>
    <row r="155" spans="1:9" x14ac:dyDescent="0.25">
      <c r="A155" s="75">
        <v>6100</v>
      </c>
      <c r="B155" s="46" t="str">
        <f t="shared" si="8"/>
        <v>7</v>
      </c>
      <c r="C155" s="75">
        <v>750</v>
      </c>
      <c r="D155" s="15" t="s">
        <v>134</v>
      </c>
      <c r="E155" s="265">
        <v>0</v>
      </c>
      <c r="F155" s="265">
        <v>0</v>
      </c>
      <c r="G155" s="265">
        <v>0</v>
      </c>
      <c r="H155" s="265">
        <v>0</v>
      </c>
      <c r="I155" s="54">
        <f t="shared" si="7"/>
        <v>0</v>
      </c>
    </row>
    <row r="156" spans="1:9" x14ac:dyDescent="0.25">
      <c r="A156" s="75">
        <v>6100</v>
      </c>
      <c r="B156" s="46" t="str">
        <f t="shared" si="8"/>
        <v>7</v>
      </c>
      <c r="C156" s="75">
        <v>790</v>
      </c>
      <c r="D156" s="15" t="s">
        <v>135</v>
      </c>
      <c r="E156" s="265">
        <v>0</v>
      </c>
      <c r="F156" s="265">
        <v>0</v>
      </c>
      <c r="G156" s="265">
        <v>0</v>
      </c>
      <c r="H156" s="265">
        <v>0</v>
      </c>
      <c r="I156" s="54">
        <f t="shared" si="7"/>
        <v>0</v>
      </c>
    </row>
    <row r="157" spans="1:9" ht="15.5" x14ac:dyDescent="0.35">
      <c r="B157" s="46">
        <v>6000</v>
      </c>
      <c r="D157" s="76" t="s">
        <v>149</v>
      </c>
      <c r="E157" s="77">
        <f>SUM(E117:E156)</f>
        <v>63900</v>
      </c>
      <c r="F157" s="77">
        <f>SUM(F117:F156)</f>
        <v>0</v>
      </c>
      <c r="G157" s="77">
        <f>SUM(G117:G156)</f>
        <v>0</v>
      </c>
      <c r="H157" s="77">
        <f>SUM(H117:H156)</f>
        <v>0</v>
      </c>
      <c r="I157" s="77">
        <f>SUM(I117:I156)</f>
        <v>63900</v>
      </c>
    </row>
    <row r="158" spans="1:9" ht="18.5" x14ac:dyDescent="0.45">
      <c r="A158" s="48" t="s">
        <v>150</v>
      </c>
      <c r="B158" s="49"/>
      <c r="C158" s="50"/>
      <c r="D158" s="50"/>
      <c r="E158" s="74"/>
      <c r="F158" s="74"/>
      <c r="G158" s="74"/>
      <c r="H158" s="74"/>
      <c r="I158" s="74"/>
    </row>
    <row r="159" spans="1:9" ht="12.65" customHeight="1" x14ac:dyDescent="0.25">
      <c r="A159" s="75">
        <v>6200</v>
      </c>
      <c r="B159" s="46" t="str">
        <f>LEFT(C159,1)</f>
        <v>1</v>
      </c>
      <c r="C159" s="75">
        <v>110</v>
      </c>
      <c r="D159" s="15" t="s">
        <v>102</v>
      </c>
      <c r="E159" s="265">
        <v>0</v>
      </c>
      <c r="F159" s="265">
        <v>0</v>
      </c>
      <c r="G159" s="265">
        <v>0</v>
      </c>
      <c r="H159" s="265">
        <v>0</v>
      </c>
      <c r="I159" s="54">
        <f t="shared" ref="I159:I198" si="9">SUM(E159:H159)</f>
        <v>0</v>
      </c>
    </row>
    <row r="160" spans="1:9" ht="12.65" customHeight="1" x14ac:dyDescent="0.25">
      <c r="A160" s="75">
        <v>6200</v>
      </c>
      <c r="B160" s="46" t="str">
        <f t="shared" ref="B160:B198" si="10">LEFT(C160,1)</f>
        <v>1</v>
      </c>
      <c r="C160" s="75">
        <v>120</v>
      </c>
      <c r="D160" s="15" t="s">
        <v>103</v>
      </c>
      <c r="E160" s="265">
        <v>0</v>
      </c>
      <c r="F160" s="265">
        <v>0</v>
      </c>
      <c r="G160" s="265">
        <v>0</v>
      </c>
      <c r="H160" s="265">
        <v>0</v>
      </c>
      <c r="I160" s="54">
        <f t="shared" si="9"/>
        <v>0</v>
      </c>
    </row>
    <row r="161" spans="1:9" ht="12.65" customHeight="1" x14ac:dyDescent="0.25">
      <c r="A161" s="75">
        <v>6200</v>
      </c>
      <c r="B161" s="46" t="str">
        <f t="shared" si="10"/>
        <v>1</v>
      </c>
      <c r="C161" s="75">
        <v>130</v>
      </c>
      <c r="D161" s="15" t="s">
        <v>104</v>
      </c>
      <c r="E161" s="265">
        <v>0</v>
      </c>
      <c r="F161" s="265">
        <v>0</v>
      </c>
      <c r="G161" s="265">
        <v>0</v>
      </c>
      <c r="H161" s="265">
        <v>0</v>
      </c>
      <c r="I161" s="54">
        <f t="shared" si="9"/>
        <v>0</v>
      </c>
    </row>
    <row r="162" spans="1:9" ht="12.65" customHeight="1" x14ac:dyDescent="0.25">
      <c r="A162" s="75">
        <v>6200</v>
      </c>
      <c r="B162" s="46" t="str">
        <f t="shared" si="10"/>
        <v>1</v>
      </c>
      <c r="C162" s="75">
        <v>140</v>
      </c>
      <c r="D162" s="15" t="s">
        <v>105</v>
      </c>
      <c r="E162" s="265">
        <v>0</v>
      </c>
      <c r="F162" s="265">
        <v>0</v>
      </c>
      <c r="G162" s="265">
        <v>0</v>
      </c>
      <c r="H162" s="265">
        <v>0</v>
      </c>
      <c r="I162" s="54">
        <f t="shared" si="9"/>
        <v>0</v>
      </c>
    </row>
    <row r="163" spans="1:9" ht="12.65" customHeight="1" x14ac:dyDescent="0.25">
      <c r="A163" s="75">
        <v>6200</v>
      </c>
      <c r="B163" s="46" t="str">
        <f t="shared" si="10"/>
        <v>1</v>
      </c>
      <c r="C163" s="75">
        <v>150</v>
      </c>
      <c r="D163" s="15" t="s">
        <v>106</v>
      </c>
      <c r="E163" s="265">
        <v>0</v>
      </c>
      <c r="F163" s="265">
        <v>0</v>
      </c>
      <c r="G163" s="265">
        <v>0</v>
      </c>
      <c r="H163" s="265">
        <v>0</v>
      </c>
      <c r="I163" s="54">
        <f t="shared" si="9"/>
        <v>0</v>
      </c>
    </row>
    <row r="164" spans="1:9" ht="12.65" customHeight="1" x14ac:dyDescent="0.25">
      <c r="A164" s="75">
        <v>6200</v>
      </c>
      <c r="B164" s="46" t="str">
        <f t="shared" si="10"/>
        <v>1</v>
      </c>
      <c r="C164" s="75">
        <v>160</v>
      </c>
      <c r="D164" s="15" t="s">
        <v>107</v>
      </c>
      <c r="E164" s="265">
        <v>0</v>
      </c>
      <c r="F164" s="265">
        <v>0</v>
      </c>
      <c r="G164" s="265">
        <v>0</v>
      </c>
      <c r="H164" s="265">
        <v>0</v>
      </c>
      <c r="I164" s="54">
        <f t="shared" si="9"/>
        <v>0</v>
      </c>
    </row>
    <row r="165" spans="1:9" ht="12.65" customHeight="1" x14ac:dyDescent="0.25">
      <c r="A165" s="75">
        <v>6200</v>
      </c>
      <c r="B165" s="46" t="str">
        <f t="shared" si="10"/>
        <v>2</v>
      </c>
      <c r="C165" s="75">
        <v>210</v>
      </c>
      <c r="D165" s="15" t="s">
        <v>108</v>
      </c>
      <c r="E165" s="265">
        <v>0</v>
      </c>
      <c r="F165" s="265">
        <v>0</v>
      </c>
      <c r="G165" s="265">
        <v>0</v>
      </c>
      <c r="H165" s="265">
        <v>0</v>
      </c>
      <c r="I165" s="54">
        <f t="shared" si="9"/>
        <v>0</v>
      </c>
    </row>
    <row r="166" spans="1:9" ht="12.65" customHeight="1" x14ac:dyDescent="0.25">
      <c r="A166" s="75">
        <v>6200</v>
      </c>
      <c r="B166" s="46" t="str">
        <f t="shared" si="10"/>
        <v>2</v>
      </c>
      <c r="C166" s="75">
        <v>220</v>
      </c>
      <c r="D166" s="15" t="s">
        <v>109</v>
      </c>
      <c r="E166" s="265">
        <v>0</v>
      </c>
      <c r="F166" s="265">
        <v>0</v>
      </c>
      <c r="G166" s="265">
        <v>0</v>
      </c>
      <c r="H166" s="265">
        <v>0</v>
      </c>
      <c r="I166" s="54">
        <f t="shared" si="9"/>
        <v>0</v>
      </c>
    </row>
    <row r="167" spans="1:9" ht="12.65" customHeight="1" x14ac:dyDescent="0.25">
      <c r="A167" s="75">
        <v>6200</v>
      </c>
      <c r="B167" s="46" t="str">
        <f t="shared" si="10"/>
        <v>2</v>
      </c>
      <c r="C167" s="75">
        <v>230</v>
      </c>
      <c r="D167" s="15" t="s">
        <v>110</v>
      </c>
      <c r="E167" s="265">
        <v>0</v>
      </c>
      <c r="F167" s="265">
        <v>0</v>
      </c>
      <c r="G167" s="265">
        <v>0</v>
      </c>
      <c r="H167" s="265">
        <v>0</v>
      </c>
      <c r="I167" s="54">
        <f t="shared" si="9"/>
        <v>0</v>
      </c>
    </row>
    <row r="168" spans="1:9" ht="12.65" customHeight="1" x14ac:dyDescent="0.25">
      <c r="A168" s="75">
        <v>6200</v>
      </c>
      <c r="B168" s="46" t="str">
        <f t="shared" si="10"/>
        <v>2</v>
      </c>
      <c r="C168" s="75">
        <v>240</v>
      </c>
      <c r="D168" s="15" t="s">
        <v>111</v>
      </c>
      <c r="E168" s="265">
        <v>0</v>
      </c>
      <c r="F168" s="265">
        <v>0</v>
      </c>
      <c r="G168" s="265">
        <v>0</v>
      </c>
      <c r="H168" s="265">
        <v>0</v>
      </c>
      <c r="I168" s="54">
        <f t="shared" si="9"/>
        <v>0</v>
      </c>
    </row>
    <row r="169" spans="1:9" ht="12.65" customHeight="1" x14ac:dyDescent="0.25">
      <c r="A169" s="75">
        <v>6200</v>
      </c>
      <c r="B169" s="46" t="str">
        <f t="shared" si="10"/>
        <v>2</v>
      </c>
      <c r="C169" s="75">
        <v>250</v>
      </c>
      <c r="D169" s="15" t="s">
        <v>112</v>
      </c>
      <c r="E169" s="265">
        <v>0</v>
      </c>
      <c r="F169" s="265">
        <v>0</v>
      </c>
      <c r="G169" s="265">
        <v>0</v>
      </c>
      <c r="H169" s="265">
        <v>0</v>
      </c>
      <c r="I169" s="54">
        <f t="shared" si="9"/>
        <v>0</v>
      </c>
    </row>
    <row r="170" spans="1:9" ht="12.65" customHeight="1" x14ac:dyDescent="0.25">
      <c r="A170" s="75">
        <v>6200</v>
      </c>
      <c r="B170" s="46" t="str">
        <f t="shared" si="10"/>
        <v>2</v>
      </c>
      <c r="C170" s="75">
        <v>290</v>
      </c>
      <c r="D170" s="15" t="s">
        <v>113</v>
      </c>
      <c r="E170" s="265">
        <v>0</v>
      </c>
      <c r="F170" s="265">
        <v>0</v>
      </c>
      <c r="G170" s="265">
        <v>0</v>
      </c>
      <c r="H170" s="265">
        <v>0</v>
      </c>
      <c r="I170" s="54">
        <f t="shared" si="9"/>
        <v>0</v>
      </c>
    </row>
    <row r="171" spans="1:9" x14ac:dyDescent="0.25">
      <c r="A171" s="75">
        <v>6200</v>
      </c>
      <c r="B171" s="46" t="str">
        <f t="shared" si="10"/>
        <v>3</v>
      </c>
      <c r="C171" s="75">
        <v>310</v>
      </c>
      <c r="D171" s="15" t="s">
        <v>114</v>
      </c>
      <c r="E171" s="265">
        <v>0</v>
      </c>
      <c r="F171" s="265">
        <v>0</v>
      </c>
      <c r="G171" s="265">
        <v>0</v>
      </c>
      <c r="H171" s="265">
        <v>0</v>
      </c>
      <c r="I171" s="54">
        <f t="shared" si="9"/>
        <v>0</v>
      </c>
    </row>
    <row r="172" spans="1:9" x14ac:dyDescent="0.25">
      <c r="A172" s="75">
        <v>6200</v>
      </c>
      <c r="B172" s="46" t="str">
        <f t="shared" si="10"/>
        <v>3</v>
      </c>
      <c r="C172" s="75">
        <v>320</v>
      </c>
      <c r="D172" s="15" t="s">
        <v>115</v>
      </c>
      <c r="E172" s="265">
        <v>0</v>
      </c>
      <c r="F172" s="265">
        <v>0</v>
      </c>
      <c r="G172" s="265">
        <v>0</v>
      </c>
      <c r="H172" s="265">
        <v>0</v>
      </c>
      <c r="I172" s="54">
        <f t="shared" si="9"/>
        <v>0</v>
      </c>
    </row>
    <row r="173" spans="1:9" x14ac:dyDescent="0.25">
      <c r="A173" s="75">
        <v>6200</v>
      </c>
      <c r="B173" s="46" t="str">
        <f t="shared" si="10"/>
        <v>3</v>
      </c>
      <c r="C173" s="75">
        <v>330</v>
      </c>
      <c r="D173" s="15" t="s">
        <v>84</v>
      </c>
      <c r="E173" s="265">
        <v>0</v>
      </c>
      <c r="F173" s="265">
        <v>0</v>
      </c>
      <c r="G173" s="265">
        <v>0</v>
      </c>
      <c r="H173" s="265">
        <v>0</v>
      </c>
      <c r="I173" s="54">
        <f t="shared" si="9"/>
        <v>0</v>
      </c>
    </row>
    <row r="174" spans="1:9" x14ac:dyDescent="0.25">
      <c r="A174" s="75">
        <v>6200</v>
      </c>
      <c r="B174" s="46" t="str">
        <f t="shared" si="10"/>
        <v>3</v>
      </c>
      <c r="C174" s="75">
        <v>350</v>
      </c>
      <c r="D174" s="15" t="s">
        <v>116</v>
      </c>
      <c r="E174" s="265">
        <v>0</v>
      </c>
      <c r="F174" s="265">
        <v>0</v>
      </c>
      <c r="G174" s="265">
        <v>0</v>
      </c>
      <c r="H174" s="265">
        <v>0</v>
      </c>
      <c r="I174" s="54">
        <f t="shared" si="9"/>
        <v>0</v>
      </c>
    </row>
    <row r="175" spans="1:9" x14ac:dyDescent="0.25">
      <c r="A175" s="75">
        <v>6200</v>
      </c>
      <c r="B175" s="46" t="str">
        <f t="shared" si="10"/>
        <v>3</v>
      </c>
      <c r="C175" s="75">
        <v>360</v>
      </c>
      <c r="D175" s="15" t="s">
        <v>92</v>
      </c>
      <c r="E175" s="265">
        <v>0</v>
      </c>
      <c r="F175" s="265">
        <v>0</v>
      </c>
      <c r="G175" s="265">
        <v>0</v>
      </c>
      <c r="H175" s="265">
        <v>0</v>
      </c>
      <c r="I175" s="54">
        <f t="shared" si="9"/>
        <v>0</v>
      </c>
    </row>
    <row r="176" spans="1:9" x14ac:dyDescent="0.25">
      <c r="A176" s="75">
        <v>6200</v>
      </c>
      <c r="B176" s="46" t="str">
        <f t="shared" si="10"/>
        <v>3</v>
      </c>
      <c r="C176" s="75">
        <v>370</v>
      </c>
      <c r="D176" s="15" t="s">
        <v>93</v>
      </c>
      <c r="E176" s="265">
        <v>0</v>
      </c>
      <c r="F176" s="265">
        <v>0</v>
      </c>
      <c r="G176" s="265">
        <v>0</v>
      </c>
      <c r="H176" s="265">
        <v>0</v>
      </c>
      <c r="I176" s="54">
        <f t="shared" si="9"/>
        <v>0</v>
      </c>
    </row>
    <row r="177" spans="1:9" x14ac:dyDescent="0.25">
      <c r="A177" s="75">
        <v>6200</v>
      </c>
      <c r="B177" s="46" t="str">
        <f t="shared" si="10"/>
        <v>3</v>
      </c>
      <c r="C177" s="75">
        <v>380</v>
      </c>
      <c r="D177" s="15" t="s">
        <v>117</v>
      </c>
      <c r="E177" s="265">
        <v>0</v>
      </c>
      <c r="F177" s="265">
        <v>0</v>
      </c>
      <c r="G177" s="265">
        <v>0</v>
      </c>
      <c r="H177" s="265">
        <v>0</v>
      </c>
      <c r="I177" s="54">
        <f t="shared" si="9"/>
        <v>0</v>
      </c>
    </row>
    <row r="178" spans="1:9" x14ac:dyDescent="0.25">
      <c r="A178" s="75">
        <v>6200</v>
      </c>
      <c r="B178" s="46" t="str">
        <f t="shared" si="10"/>
        <v>3</v>
      </c>
      <c r="C178" s="75">
        <v>390</v>
      </c>
      <c r="D178" s="15" t="s">
        <v>118</v>
      </c>
      <c r="E178" s="265">
        <v>0</v>
      </c>
      <c r="F178" s="265">
        <v>0</v>
      </c>
      <c r="G178" s="265">
        <v>0</v>
      </c>
      <c r="H178" s="265">
        <v>0</v>
      </c>
      <c r="I178" s="54">
        <f t="shared" si="9"/>
        <v>0</v>
      </c>
    </row>
    <row r="179" spans="1:9" x14ac:dyDescent="0.25">
      <c r="A179" s="75">
        <v>6200</v>
      </c>
      <c r="B179" s="46" t="str">
        <f t="shared" si="10"/>
        <v>4</v>
      </c>
      <c r="C179" s="75">
        <v>430</v>
      </c>
      <c r="D179" s="15" t="s">
        <v>119</v>
      </c>
      <c r="E179" s="265">
        <v>0</v>
      </c>
      <c r="F179" s="265">
        <v>0</v>
      </c>
      <c r="G179" s="265">
        <v>0</v>
      </c>
      <c r="H179" s="265">
        <v>0</v>
      </c>
      <c r="I179" s="54">
        <f t="shared" si="9"/>
        <v>0</v>
      </c>
    </row>
    <row r="180" spans="1:9" x14ac:dyDescent="0.25">
      <c r="A180" s="75">
        <v>6200</v>
      </c>
      <c r="B180" s="46" t="str">
        <f t="shared" si="10"/>
        <v>5</v>
      </c>
      <c r="C180" s="75">
        <v>510</v>
      </c>
      <c r="D180" s="15" t="s">
        <v>94</v>
      </c>
      <c r="E180" s="265">
        <v>0</v>
      </c>
      <c r="F180" s="265">
        <v>0</v>
      </c>
      <c r="G180" s="265">
        <v>0</v>
      </c>
      <c r="H180" s="265">
        <v>0</v>
      </c>
      <c r="I180" s="54">
        <f t="shared" si="9"/>
        <v>0</v>
      </c>
    </row>
    <row r="181" spans="1:9" x14ac:dyDescent="0.25">
      <c r="A181" s="75">
        <v>6200</v>
      </c>
      <c r="B181" s="46" t="str">
        <f t="shared" si="10"/>
        <v>5</v>
      </c>
      <c r="C181" s="75">
        <v>520</v>
      </c>
      <c r="D181" s="15" t="s">
        <v>95</v>
      </c>
      <c r="E181" s="265">
        <v>0</v>
      </c>
      <c r="F181" s="265">
        <v>0</v>
      </c>
      <c r="G181" s="265">
        <v>0</v>
      </c>
      <c r="H181" s="265">
        <v>0</v>
      </c>
      <c r="I181" s="54">
        <f t="shared" si="9"/>
        <v>0</v>
      </c>
    </row>
    <row r="182" spans="1:9" x14ac:dyDescent="0.25">
      <c r="A182" s="75">
        <v>6200</v>
      </c>
      <c r="B182" s="46" t="str">
        <f t="shared" si="10"/>
        <v>5</v>
      </c>
      <c r="C182" s="75">
        <v>530</v>
      </c>
      <c r="D182" s="15" t="s">
        <v>120</v>
      </c>
      <c r="E182" s="265">
        <v>0</v>
      </c>
      <c r="F182" s="265">
        <v>0</v>
      </c>
      <c r="G182" s="265">
        <v>0</v>
      </c>
      <c r="H182" s="265">
        <v>0</v>
      </c>
      <c r="I182" s="54">
        <f t="shared" si="9"/>
        <v>0</v>
      </c>
    </row>
    <row r="183" spans="1:9" x14ac:dyDescent="0.25">
      <c r="A183" s="75">
        <v>6200</v>
      </c>
      <c r="B183" s="46" t="str">
        <f t="shared" si="10"/>
        <v>5</v>
      </c>
      <c r="C183" s="75">
        <v>570</v>
      </c>
      <c r="D183" s="15" t="s">
        <v>85</v>
      </c>
      <c r="E183" s="265">
        <v>0</v>
      </c>
      <c r="F183" s="265">
        <v>0</v>
      </c>
      <c r="G183" s="265">
        <v>0</v>
      </c>
      <c r="H183" s="265">
        <v>0</v>
      </c>
      <c r="I183" s="54">
        <f t="shared" si="9"/>
        <v>0</v>
      </c>
    </row>
    <row r="184" spans="1:9" x14ac:dyDescent="0.25">
      <c r="A184" s="75">
        <v>6200</v>
      </c>
      <c r="B184" s="46" t="str">
        <f t="shared" si="10"/>
        <v>5</v>
      </c>
      <c r="C184" s="75">
        <v>590</v>
      </c>
      <c r="D184" s="15" t="s">
        <v>121</v>
      </c>
      <c r="E184" s="265">
        <v>0</v>
      </c>
      <c r="F184" s="265">
        <v>0</v>
      </c>
      <c r="G184" s="265">
        <v>0</v>
      </c>
      <c r="H184" s="265">
        <v>0</v>
      </c>
      <c r="I184" s="54">
        <f t="shared" si="9"/>
        <v>0</v>
      </c>
    </row>
    <row r="185" spans="1:9" x14ac:dyDescent="0.25">
      <c r="A185" s="75">
        <v>6200</v>
      </c>
      <c r="B185" s="46" t="str">
        <f t="shared" si="10"/>
        <v>6</v>
      </c>
      <c r="C185" s="75">
        <v>610</v>
      </c>
      <c r="D185" s="15" t="s">
        <v>122</v>
      </c>
      <c r="E185" s="265">
        <v>0</v>
      </c>
      <c r="F185" s="265">
        <v>0</v>
      </c>
      <c r="G185" s="265">
        <v>0</v>
      </c>
      <c r="H185" s="265">
        <v>0</v>
      </c>
      <c r="I185" s="54">
        <f t="shared" si="9"/>
        <v>0</v>
      </c>
    </row>
    <row r="186" spans="1:9" x14ac:dyDescent="0.25">
      <c r="A186" s="75">
        <v>6200</v>
      </c>
      <c r="B186" s="46" t="str">
        <f t="shared" si="10"/>
        <v>6</v>
      </c>
      <c r="C186" s="75">
        <v>621</v>
      </c>
      <c r="D186" s="15" t="s">
        <v>123</v>
      </c>
      <c r="E186" s="265">
        <v>0</v>
      </c>
      <c r="F186" s="265">
        <v>0</v>
      </c>
      <c r="G186" s="265">
        <v>0</v>
      </c>
      <c r="H186" s="265">
        <v>0</v>
      </c>
      <c r="I186" s="54">
        <f t="shared" si="9"/>
        <v>0</v>
      </c>
    </row>
    <row r="187" spans="1:9" x14ac:dyDescent="0.25">
      <c r="A187" s="75">
        <v>6200</v>
      </c>
      <c r="B187" s="46" t="str">
        <f t="shared" si="10"/>
        <v>6</v>
      </c>
      <c r="C187" s="75">
        <v>622</v>
      </c>
      <c r="D187" s="15" t="s">
        <v>124</v>
      </c>
      <c r="E187" s="265">
        <v>0</v>
      </c>
      <c r="F187" s="265">
        <v>0</v>
      </c>
      <c r="G187" s="265">
        <v>0</v>
      </c>
      <c r="H187" s="265">
        <v>0</v>
      </c>
      <c r="I187" s="54">
        <f t="shared" si="9"/>
        <v>0</v>
      </c>
    </row>
    <row r="188" spans="1:9" x14ac:dyDescent="0.25">
      <c r="A188" s="75">
        <v>6200</v>
      </c>
      <c r="B188" s="46" t="str">
        <f t="shared" si="10"/>
        <v>6</v>
      </c>
      <c r="C188" s="75">
        <v>630</v>
      </c>
      <c r="D188" s="15" t="s">
        <v>125</v>
      </c>
      <c r="E188" s="265">
        <v>0</v>
      </c>
      <c r="F188" s="265">
        <v>0</v>
      </c>
      <c r="G188" s="265">
        <v>0</v>
      </c>
      <c r="H188" s="265">
        <v>0</v>
      </c>
      <c r="I188" s="54">
        <f t="shared" si="9"/>
        <v>0</v>
      </c>
    </row>
    <row r="189" spans="1:9" x14ac:dyDescent="0.25">
      <c r="A189" s="75">
        <v>6200</v>
      </c>
      <c r="B189" s="46" t="str">
        <f t="shared" si="10"/>
        <v>6</v>
      </c>
      <c r="C189" s="75">
        <v>641</v>
      </c>
      <c r="D189" s="15" t="s">
        <v>126</v>
      </c>
      <c r="E189" s="265">
        <v>0</v>
      </c>
      <c r="F189" s="265">
        <v>0</v>
      </c>
      <c r="G189" s="265">
        <v>0</v>
      </c>
      <c r="H189" s="265">
        <v>0</v>
      </c>
      <c r="I189" s="54">
        <f t="shared" si="9"/>
        <v>0</v>
      </c>
    </row>
    <row r="190" spans="1:9" x14ac:dyDescent="0.25">
      <c r="A190" s="75">
        <v>6200</v>
      </c>
      <c r="B190" s="46" t="str">
        <f t="shared" si="10"/>
        <v>6</v>
      </c>
      <c r="C190" s="75">
        <v>642</v>
      </c>
      <c r="D190" s="15" t="s">
        <v>127</v>
      </c>
      <c r="E190" s="265">
        <v>0</v>
      </c>
      <c r="F190" s="265">
        <v>0</v>
      </c>
      <c r="G190" s="265">
        <v>0</v>
      </c>
      <c r="H190" s="265">
        <v>0</v>
      </c>
      <c r="I190" s="54">
        <f t="shared" si="9"/>
        <v>0</v>
      </c>
    </row>
    <row r="191" spans="1:9" x14ac:dyDescent="0.25">
      <c r="A191" s="75">
        <v>6200</v>
      </c>
      <c r="B191" s="46" t="str">
        <f t="shared" si="10"/>
        <v>6</v>
      </c>
      <c r="C191" s="75">
        <v>643</v>
      </c>
      <c r="D191" s="15" t="s">
        <v>128</v>
      </c>
      <c r="E191" s="265">
        <v>0</v>
      </c>
      <c r="F191" s="265">
        <v>0</v>
      </c>
      <c r="G191" s="265">
        <v>0</v>
      </c>
      <c r="H191" s="265">
        <v>0</v>
      </c>
      <c r="I191" s="54">
        <f t="shared" si="9"/>
        <v>0</v>
      </c>
    </row>
    <row r="192" spans="1:9" x14ac:dyDescent="0.25">
      <c r="A192" s="75">
        <v>6200</v>
      </c>
      <c r="B192" s="46" t="str">
        <f t="shared" si="10"/>
        <v>6</v>
      </c>
      <c r="C192" s="75">
        <v>644</v>
      </c>
      <c r="D192" s="15" t="s">
        <v>129</v>
      </c>
      <c r="E192" s="265">
        <v>0</v>
      </c>
      <c r="F192" s="265">
        <v>0</v>
      </c>
      <c r="G192" s="265">
        <v>0</v>
      </c>
      <c r="H192" s="265">
        <v>0</v>
      </c>
      <c r="I192" s="54">
        <f t="shared" si="9"/>
        <v>0</v>
      </c>
    </row>
    <row r="193" spans="1:9" x14ac:dyDescent="0.25">
      <c r="A193" s="75">
        <v>6200</v>
      </c>
      <c r="B193" s="46" t="str">
        <f t="shared" si="10"/>
        <v>6</v>
      </c>
      <c r="C193" s="75">
        <v>680</v>
      </c>
      <c r="D193" s="15" t="s">
        <v>130</v>
      </c>
      <c r="E193" s="265">
        <v>0</v>
      </c>
      <c r="F193" s="265">
        <v>0</v>
      </c>
      <c r="G193" s="265">
        <v>0</v>
      </c>
      <c r="H193" s="265">
        <v>0</v>
      </c>
      <c r="I193" s="54">
        <f t="shared" si="9"/>
        <v>0</v>
      </c>
    </row>
    <row r="194" spans="1:9" x14ac:dyDescent="0.25">
      <c r="A194" s="75">
        <v>6200</v>
      </c>
      <c r="B194" s="46" t="str">
        <f t="shared" si="10"/>
        <v>6</v>
      </c>
      <c r="C194" s="75">
        <v>690</v>
      </c>
      <c r="D194" s="15" t="s">
        <v>131</v>
      </c>
      <c r="E194" s="265">
        <v>0</v>
      </c>
      <c r="F194" s="265">
        <v>0</v>
      </c>
      <c r="G194" s="265">
        <v>0</v>
      </c>
      <c r="H194" s="265">
        <v>0</v>
      </c>
      <c r="I194" s="54">
        <f t="shared" si="9"/>
        <v>0</v>
      </c>
    </row>
    <row r="195" spans="1:9" x14ac:dyDescent="0.25">
      <c r="A195" s="75">
        <v>6200</v>
      </c>
      <c r="B195" s="46" t="str">
        <f t="shared" si="10"/>
        <v>7</v>
      </c>
      <c r="C195" s="75">
        <v>720</v>
      </c>
      <c r="D195" s="15" t="s">
        <v>132</v>
      </c>
      <c r="E195" s="265">
        <v>0</v>
      </c>
      <c r="F195" s="265">
        <v>0</v>
      </c>
      <c r="G195" s="265">
        <v>0</v>
      </c>
      <c r="H195" s="265">
        <v>0</v>
      </c>
      <c r="I195" s="54">
        <f t="shared" si="9"/>
        <v>0</v>
      </c>
    </row>
    <row r="196" spans="1:9" x14ac:dyDescent="0.25">
      <c r="A196" s="75">
        <v>6200</v>
      </c>
      <c r="B196" s="46" t="str">
        <f t="shared" si="10"/>
        <v>7</v>
      </c>
      <c r="C196" s="75">
        <v>730</v>
      </c>
      <c r="D196" s="15" t="s">
        <v>133</v>
      </c>
      <c r="E196" s="265">
        <v>0</v>
      </c>
      <c r="F196" s="265">
        <v>0</v>
      </c>
      <c r="G196" s="265">
        <v>0</v>
      </c>
      <c r="H196" s="265">
        <v>0</v>
      </c>
      <c r="I196" s="54">
        <f t="shared" si="9"/>
        <v>0</v>
      </c>
    </row>
    <row r="197" spans="1:9" x14ac:dyDescent="0.25">
      <c r="A197" s="75">
        <v>6200</v>
      </c>
      <c r="B197" s="46" t="str">
        <f t="shared" si="10"/>
        <v>7</v>
      </c>
      <c r="C197" s="75">
        <v>750</v>
      </c>
      <c r="D197" s="15" t="s">
        <v>134</v>
      </c>
      <c r="E197" s="265">
        <v>0</v>
      </c>
      <c r="F197" s="265">
        <v>0</v>
      </c>
      <c r="G197" s="265">
        <v>0</v>
      </c>
      <c r="H197" s="265">
        <v>0</v>
      </c>
      <c r="I197" s="54">
        <f t="shared" si="9"/>
        <v>0</v>
      </c>
    </row>
    <row r="198" spans="1:9" x14ac:dyDescent="0.25">
      <c r="A198" s="75">
        <v>6200</v>
      </c>
      <c r="B198" s="46" t="str">
        <f t="shared" si="10"/>
        <v>7</v>
      </c>
      <c r="C198" s="75">
        <v>790</v>
      </c>
      <c r="D198" s="15" t="s">
        <v>135</v>
      </c>
      <c r="E198" s="265">
        <v>0</v>
      </c>
      <c r="F198" s="265">
        <v>0</v>
      </c>
      <c r="G198" s="265">
        <v>0</v>
      </c>
      <c r="H198" s="265">
        <v>0</v>
      </c>
      <c r="I198" s="54">
        <f t="shared" si="9"/>
        <v>0</v>
      </c>
    </row>
    <row r="199" spans="1:9" ht="15.5" x14ac:dyDescent="0.35">
      <c r="B199" s="46">
        <v>6000</v>
      </c>
      <c r="D199" s="76" t="s">
        <v>151</v>
      </c>
      <c r="E199" s="77">
        <f>SUM(E159:E198)</f>
        <v>0</v>
      </c>
      <c r="F199" s="77">
        <f>SUM(F159:F198)</f>
        <v>0</v>
      </c>
      <c r="G199" s="77">
        <f>SUM(G159:G198)</f>
        <v>0</v>
      </c>
      <c r="H199" s="77">
        <f>SUM(H159:H198)</f>
        <v>0</v>
      </c>
      <c r="I199" s="77">
        <f>SUM(I159:I198)</f>
        <v>0</v>
      </c>
    </row>
    <row r="200" spans="1:9" ht="18.5" x14ac:dyDescent="0.45">
      <c r="A200" s="48" t="s">
        <v>152</v>
      </c>
      <c r="B200" s="49"/>
      <c r="C200" s="50"/>
      <c r="D200" s="50"/>
      <c r="E200" s="74"/>
      <c r="F200" s="74"/>
      <c r="G200" s="74"/>
      <c r="H200" s="74"/>
      <c r="I200" s="74"/>
    </row>
    <row r="201" spans="1:9" ht="12.65" customHeight="1" x14ac:dyDescent="0.25">
      <c r="A201" s="75">
        <v>6300</v>
      </c>
      <c r="B201" s="46" t="str">
        <f>LEFT(C201,1)</f>
        <v>1</v>
      </c>
      <c r="C201" s="75">
        <v>110</v>
      </c>
      <c r="D201" s="15" t="s">
        <v>102</v>
      </c>
      <c r="E201" s="265">
        <v>0</v>
      </c>
      <c r="F201" s="265">
        <v>0</v>
      </c>
      <c r="G201" s="265">
        <v>0</v>
      </c>
      <c r="H201" s="265">
        <v>0</v>
      </c>
      <c r="I201" s="54">
        <f t="shared" ref="I201:I240" si="11">SUM(E201:H201)</f>
        <v>0</v>
      </c>
    </row>
    <row r="202" spans="1:9" ht="12.65" customHeight="1" x14ac:dyDescent="0.25">
      <c r="A202" s="75">
        <v>6300</v>
      </c>
      <c r="B202" s="46" t="str">
        <f t="shared" ref="B202:B240" si="12">LEFT(C202,1)</f>
        <v>1</v>
      </c>
      <c r="C202" s="75">
        <v>120</v>
      </c>
      <c r="D202" s="15" t="s">
        <v>103</v>
      </c>
      <c r="E202" s="265">
        <v>0</v>
      </c>
      <c r="F202" s="265">
        <v>0</v>
      </c>
      <c r="G202" s="265">
        <v>0</v>
      </c>
      <c r="H202" s="265">
        <v>0</v>
      </c>
      <c r="I202" s="54">
        <f t="shared" si="11"/>
        <v>0</v>
      </c>
    </row>
    <row r="203" spans="1:9" ht="12.65" customHeight="1" x14ac:dyDescent="0.25">
      <c r="A203" s="75">
        <v>6300</v>
      </c>
      <c r="B203" s="46" t="str">
        <f t="shared" si="12"/>
        <v>1</v>
      </c>
      <c r="C203" s="75">
        <v>130</v>
      </c>
      <c r="D203" s="15" t="s">
        <v>104</v>
      </c>
      <c r="E203" s="265">
        <v>0</v>
      </c>
      <c r="F203" s="265">
        <v>0</v>
      </c>
      <c r="G203" s="265">
        <v>0</v>
      </c>
      <c r="H203" s="265">
        <v>0</v>
      </c>
      <c r="I203" s="54">
        <f t="shared" si="11"/>
        <v>0</v>
      </c>
    </row>
    <row r="204" spans="1:9" ht="12.65" customHeight="1" x14ac:dyDescent="0.25">
      <c r="A204" s="75">
        <v>6300</v>
      </c>
      <c r="B204" s="46" t="str">
        <f t="shared" si="12"/>
        <v>1</v>
      </c>
      <c r="C204" s="75">
        <v>140</v>
      </c>
      <c r="D204" s="15" t="s">
        <v>105</v>
      </c>
      <c r="E204" s="265">
        <v>0</v>
      </c>
      <c r="F204" s="265">
        <v>0</v>
      </c>
      <c r="G204" s="265">
        <v>0</v>
      </c>
      <c r="H204" s="265">
        <v>0</v>
      </c>
      <c r="I204" s="54">
        <f t="shared" si="11"/>
        <v>0</v>
      </c>
    </row>
    <row r="205" spans="1:9" ht="12.65" customHeight="1" x14ac:dyDescent="0.25">
      <c r="A205" s="75">
        <v>6300</v>
      </c>
      <c r="B205" s="46" t="str">
        <f t="shared" si="12"/>
        <v>1</v>
      </c>
      <c r="C205" s="75">
        <v>150</v>
      </c>
      <c r="D205" s="15" t="s">
        <v>106</v>
      </c>
      <c r="E205" s="265">
        <v>0</v>
      </c>
      <c r="F205" s="265">
        <v>0</v>
      </c>
      <c r="G205" s="265">
        <v>0</v>
      </c>
      <c r="H205" s="265">
        <v>0</v>
      </c>
      <c r="I205" s="54">
        <f t="shared" si="11"/>
        <v>0</v>
      </c>
    </row>
    <row r="206" spans="1:9" ht="12.65" customHeight="1" x14ac:dyDescent="0.25">
      <c r="A206" s="75">
        <v>6300</v>
      </c>
      <c r="B206" s="46" t="str">
        <f t="shared" si="12"/>
        <v>1</v>
      </c>
      <c r="C206" s="75">
        <v>160</v>
      </c>
      <c r="D206" s="15" t="s">
        <v>107</v>
      </c>
      <c r="E206" s="265">
        <v>0</v>
      </c>
      <c r="F206" s="265">
        <v>0</v>
      </c>
      <c r="G206" s="265">
        <v>0</v>
      </c>
      <c r="H206" s="265">
        <v>0</v>
      </c>
      <c r="I206" s="54">
        <f t="shared" si="11"/>
        <v>0</v>
      </c>
    </row>
    <row r="207" spans="1:9" ht="12.65" customHeight="1" x14ac:dyDescent="0.25">
      <c r="A207" s="75">
        <v>6300</v>
      </c>
      <c r="B207" s="46" t="str">
        <f t="shared" si="12"/>
        <v>2</v>
      </c>
      <c r="C207" s="75">
        <v>210</v>
      </c>
      <c r="D207" s="15" t="s">
        <v>108</v>
      </c>
      <c r="E207" s="265">
        <v>0</v>
      </c>
      <c r="F207" s="265">
        <v>0</v>
      </c>
      <c r="G207" s="265">
        <v>0</v>
      </c>
      <c r="H207" s="265">
        <v>0</v>
      </c>
      <c r="I207" s="54">
        <f t="shared" si="11"/>
        <v>0</v>
      </c>
    </row>
    <row r="208" spans="1:9" ht="12.65" customHeight="1" x14ac:dyDescent="0.25">
      <c r="A208" s="75">
        <v>6300</v>
      </c>
      <c r="B208" s="46" t="str">
        <f t="shared" si="12"/>
        <v>2</v>
      </c>
      <c r="C208" s="75">
        <v>220</v>
      </c>
      <c r="D208" s="15" t="s">
        <v>109</v>
      </c>
      <c r="E208" s="265">
        <v>0</v>
      </c>
      <c r="F208" s="265">
        <v>0</v>
      </c>
      <c r="G208" s="265">
        <v>0</v>
      </c>
      <c r="H208" s="265">
        <v>0</v>
      </c>
      <c r="I208" s="54">
        <f t="shared" si="11"/>
        <v>0</v>
      </c>
    </row>
    <row r="209" spans="1:9" ht="12.65" customHeight="1" x14ac:dyDescent="0.25">
      <c r="A209" s="75">
        <v>6300</v>
      </c>
      <c r="B209" s="46" t="str">
        <f t="shared" si="12"/>
        <v>2</v>
      </c>
      <c r="C209" s="75">
        <v>230</v>
      </c>
      <c r="D209" s="15" t="s">
        <v>110</v>
      </c>
      <c r="E209" s="265">
        <v>0</v>
      </c>
      <c r="F209" s="265">
        <v>0</v>
      </c>
      <c r="G209" s="265">
        <v>0</v>
      </c>
      <c r="H209" s="265">
        <v>0</v>
      </c>
      <c r="I209" s="54">
        <f t="shared" si="11"/>
        <v>0</v>
      </c>
    </row>
    <row r="210" spans="1:9" ht="12.65" customHeight="1" x14ac:dyDescent="0.25">
      <c r="A210" s="75">
        <v>6300</v>
      </c>
      <c r="B210" s="46" t="str">
        <f t="shared" si="12"/>
        <v>2</v>
      </c>
      <c r="C210" s="75">
        <v>240</v>
      </c>
      <c r="D210" s="15" t="s">
        <v>111</v>
      </c>
      <c r="E210" s="265">
        <v>0</v>
      </c>
      <c r="F210" s="265">
        <v>0</v>
      </c>
      <c r="G210" s="265">
        <v>0</v>
      </c>
      <c r="H210" s="265">
        <v>0</v>
      </c>
      <c r="I210" s="54">
        <f t="shared" si="11"/>
        <v>0</v>
      </c>
    </row>
    <row r="211" spans="1:9" ht="12.65" customHeight="1" x14ac:dyDescent="0.25">
      <c r="A211" s="75">
        <v>6300</v>
      </c>
      <c r="B211" s="46" t="str">
        <f t="shared" si="12"/>
        <v>2</v>
      </c>
      <c r="C211" s="75">
        <v>250</v>
      </c>
      <c r="D211" s="15" t="s">
        <v>112</v>
      </c>
      <c r="E211" s="265">
        <v>0</v>
      </c>
      <c r="F211" s="265">
        <v>0</v>
      </c>
      <c r="G211" s="265">
        <v>0</v>
      </c>
      <c r="H211" s="265">
        <v>0</v>
      </c>
      <c r="I211" s="54">
        <f t="shared" si="11"/>
        <v>0</v>
      </c>
    </row>
    <row r="212" spans="1:9" ht="12.65" customHeight="1" x14ac:dyDescent="0.25">
      <c r="A212" s="75">
        <v>6300</v>
      </c>
      <c r="B212" s="46" t="str">
        <f t="shared" si="12"/>
        <v>2</v>
      </c>
      <c r="C212" s="75">
        <v>290</v>
      </c>
      <c r="D212" s="15" t="s">
        <v>113</v>
      </c>
      <c r="E212" s="265">
        <v>0</v>
      </c>
      <c r="F212" s="265">
        <v>0</v>
      </c>
      <c r="G212" s="265">
        <v>0</v>
      </c>
      <c r="H212" s="265">
        <v>0</v>
      </c>
      <c r="I212" s="54">
        <f t="shared" si="11"/>
        <v>0</v>
      </c>
    </row>
    <row r="213" spans="1:9" x14ac:dyDescent="0.25">
      <c r="A213" s="75">
        <v>6300</v>
      </c>
      <c r="B213" s="46" t="str">
        <f t="shared" si="12"/>
        <v>3</v>
      </c>
      <c r="C213" s="75">
        <v>310</v>
      </c>
      <c r="D213" s="15" t="s">
        <v>114</v>
      </c>
      <c r="E213" s="265">
        <v>0</v>
      </c>
      <c r="F213" s="265">
        <v>0</v>
      </c>
      <c r="G213" s="265">
        <v>0</v>
      </c>
      <c r="H213" s="265">
        <v>0</v>
      </c>
      <c r="I213" s="54">
        <f t="shared" si="11"/>
        <v>0</v>
      </c>
    </row>
    <row r="214" spans="1:9" x14ac:dyDescent="0.25">
      <c r="A214" s="75">
        <v>6300</v>
      </c>
      <c r="B214" s="46" t="str">
        <f t="shared" si="12"/>
        <v>3</v>
      </c>
      <c r="C214" s="75">
        <v>320</v>
      </c>
      <c r="D214" s="15" t="s">
        <v>115</v>
      </c>
      <c r="E214" s="265">
        <v>0</v>
      </c>
      <c r="F214" s="265">
        <v>0</v>
      </c>
      <c r="G214" s="265">
        <v>0</v>
      </c>
      <c r="H214" s="265">
        <v>0</v>
      </c>
      <c r="I214" s="54">
        <f t="shared" si="11"/>
        <v>0</v>
      </c>
    </row>
    <row r="215" spans="1:9" x14ac:dyDescent="0.25">
      <c r="A215" s="75">
        <v>6300</v>
      </c>
      <c r="B215" s="46" t="str">
        <f t="shared" si="12"/>
        <v>3</v>
      </c>
      <c r="C215" s="75">
        <v>330</v>
      </c>
      <c r="D215" s="15" t="s">
        <v>84</v>
      </c>
      <c r="E215" s="265">
        <v>0</v>
      </c>
      <c r="F215" s="265">
        <v>0</v>
      </c>
      <c r="G215" s="265">
        <v>0</v>
      </c>
      <c r="H215" s="265">
        <v>0</v>
      </c>
      <c r="I215" s="54">
        <f t="shared" si="11"/>
        <v>0</v>
      </c>
    </row>
    <row r="216" spans="1:9" x14ac:dyDescent="0.25">
      <c r="A216" s="75">
        <v>6300</v>
      </c>
      <c r="B216" s="46" t="str">
        <f t="shared" si="12"/>
        <v>3</v>
      </c>
      <c r="C216" s="75">
        <v>350</v>
      </c>
      <c r="D216" s="15" t="s">
        <v>116</v>
      </c>
      <c r="E216" s="265">
        <v>0</v>
      </c>
      <c r="F216" s="265">
        <v>0</v>
      </c>
      <c r="G216" s="265">
        <v>0</v>
      </c>
      <c r="H216" s="265">
        <v>0</v>
      </c>
      <c r="I216" s="54">
        <f t="shared" si="11"/>
        <v>0</v>
      </c>
    </row>
    <row r="217" spans="1:9" x14ac:dyDescent="0.25">
      <c r="A217" s="75">
        <v>6300</v>
      </c>
      <c r="B217" s="46" t="str">
        <f t="shared" si="12"/>
        <v>3</v>
      </c>
      <c r="C217" s="75">
        <v>360</v>
      </c>
      <c r="D217" s="15" t="s">
        <v>92</v>
      </c>
      <c r="E217" s="265">
        <v>0</v>
      </c>
      <c r="F217" s="265">
        <v>0</v>
      </c>
      <c r="G217" s="265">
        <v>0</v>
      </c>
      <c r="H217" s="265">
        <v>0</v>
      </c>
      <c r="I217" s="54">
        <f t="shared" si="11"/>
        <v>0</v>
      </c>
    </row>
    <row r="218" spans="1:9" x14ac:dyDescent="0.25">
      <c r="A218" s="75">
        <v>6300</v>
      </c>
      <c r="B218" s="46" t="str">
        <f t="shared" si="12"/>
        <v>3</v>
      </c>
      <c r="C218" s="75">
        <v>370</v>
      </c>
      <c r="D218" s="15" t="s">
        <v>93</v>
      </c>
      <c r="E218" s="265">
        <v>0</v>
      </c>
      <c r="F218" s="265">
        <v>0</v>
      </c>
      <c r="G218" s="265">
        <v>0</v>
      </c>
      <c r="H218" s="265">
        <v>0</v>
      </c>
      <c r="I218" s="54">
        <f t="shared" si="11"/>
        <v>0</v>
      </c>
    </row>
    <row r="219" spans="1:9" x14ac:dyDescent="0.25">
      <c r="A219" s="75">
        <v>6300</v>
      </c>
      <c r="B219" s="46" t="str">
        <f t="shared" si="12"/>
        <v>3</v>
      </c>
      <c r="C219" s="75">
        <v>380</v>
      </c>
      <c r="D219" s="15" t="s">
        <v>117</v>
      </c>
      <c r="E219" s="265">
        <v>0</v>
      </c>
      <c r="F219" s="265">
        <v>0</v>
      </c>
      <c r="G219" s="265">
        <v>0</v>
      </c>
      <c r="H219" s="265">
        <v>0</v>
      </c>
      <c r="I219" s="54">
        <f t="shared" si="11"/>
        <v>0</v>
      </c>
    </row>
    <row r="220" spans="1:9" x14ac:dyDescent="0.25">
      <c r="A220" s="75">
        <v>6300</v>
      </c>
      <c r="B220" s="46" t="str">
        <f t="shared" si="12"/>
        <v>3</v>
      </c>
      <c r="C220" s="75">
        <v>390</v>
      </c>
      <c r="D220" s="15" t="s">
        <v>118</v>
      </c>
      <c r="E220" s="265">
        <v>0</v>
      </c>
      <c r="F220" s="265">
        <v>0</v>
      </c>
      <c r="G220" s="265">
        <v>0</v>
      </c>
      <c r="H220" s="265">
        <v>0</v>
      </c>
      <c r="I220" s="54">
        <f t="shared" si="11"/>
        <v>0</v>
      </c>
    </row>
    <row r="221" spans="1:9" x14ac:dyDescent="0.25">
      <c r="A221" s="75">
        <v>6300</v>
      </c>
      <c r="B221" s="46" t="str">
        <f t="shared" si="12"/>
        <v>4</v>
      </c>
      <c r="C221" s="75">
        <v>430</v>
      </c>
      <c r="D221" s="15" t="s">
        <v>119</v>
      </c>
      <c r="E221" s="265">
        <v>0</v>
      </c>
      <c r="F221" s="265">
        <v>0</v>
      </c>
      <c r="G221" s="265">
        <v>0</v>
      </c>
      <c r="H221" s="265">
        <v>0</v>
      </c>
      <c r="I221" s="54">
        <f t="shared" si="11"/>
        <v>0</v>
      </c>
    </row>
    <row r="222" spans="1:9" x14ac:dyDescent="0.25">
      <c r="A222" s="75">
        <v>6300</v>
      </c>
      <c r="B222" s="46" t="str">
        <f t="shared" si="12"/>
        <v>5</v>
      </c>
      <c r="C222" s="75">
        <v>510</v>
      </c>
      <c r="D222" s="15" t="s">
        <v>94</v>
      </c>
      <c r="E222" s="265">
        <v>0</v>
      </c>
      <c r="F222" s="265">
        <v>0</v>
      </c>
      <c r="G222" s="265">
        <v>0</v>
      </c>
      <c r="H222" s="265">
        <v>0</v>
      </c>
      <c r="I222" s="54">
        <f t="shared" si="11"/>
        <v>0</v>
      </c>
    </row>
    <row r="223" spans="1:9" x14ac:dyDescent="0.25">
      <c r="A223" s="75">
        <v>6300</v>
      </c>
      <c r="B223" s="46" t="str">
        <f t="shared" si="12"/>
        <v>5</v>
      </c>
      <c r="C223" s="75">
        <v>520</v>
      </c>
      <c r="D223" s="15" t="s">
        <v>95</v>
      </c>
      <c r="E223" s="265">
        <v>0</v>
      </c>
      <c r="F223" s="265">
        <v>0</v>
      </c>
      <c r="G223" s="265">
        <v>0</v>
      </c>
      <c r="H223" s="265">
        <v>0</v>
      </c>
      <c r="I223" s="54">
        <f t="shared" si="11"/>
        <v>0</v>
      </c>
    </row>
    <row r="224" spans="1:9" x14ac:dyDescent="0.25">
      <c r="A224" s="75">
        <v>6300</v>
      </c>
      <c r="B224" s="46" t="str">
        <f t="shared" si="12"/>
        <v>5</v>
      </c>
      <c r="C224" s="75">
        <v>530</v>
      </c>
      <c r="D224" s="15" t="s">
        <v>120</v>
      </c>
      <c r="E224" s="265">
        <v>0</v>
      </c>
      <c r="F224" s="265">
        <v>0</v>
      </c>
      <c r="G224" s="265">
        <v>0</v>
      </c>
      <c r="H224" s="265">
        <v>0</v>
      </c>
      <c r="I224" s="54">
        <f t="shared" si="11"/>
        <v>0</v>
      </c>
    </row>
    <row r="225" spans="1:9" x14ac:dyDescent="0.25">
      <c r="A225" s="75">
        <v>6300</v>
      </c>
      <c r="B225" s="46" t="str">
        <f t="shared" si="12"/>
        <v>5</v>
      </c>
      <c r="C225" s="75">
        <v>570</v>
      </c>
      <c r="D225" s="15" t="s">
        <v>85</v>
      </c>
      <c r="E225" s="265">
        <v>0</v>
      </c>
      <c r="F225" s="265">
        <v>0</v>
      </c>
      <c r="G225" s="265">
        <v>0</v>
      </c>
      <c r="H225" s="265">
        <v>0</v>
      </c>
      <c r="I225" s="54">
        <f t="shared" si="11"/>
        <v>0</v>
      </c>
    </row>
    <row r="226" spans="1:9" x14ac:dyDescent="0.25">
      <c r="A226" s="75">
        <v>6300</v>
      </c>
      <c r="B226" s="46" t="str">
        <f t="shared" si="12"/>
        <v>5</v>
      </c>
      <c r="C226" s="75">
        <v>590</v>
      </c>
      <c r="D226" s="15" t="s">
        <v>121</v>
      </c>
      <c r="E226" s="265">
        <v>0</v>
      </c>
      <c r="F226" s="265">
        <v>0</v>
      </c>
      <c r="G226" s="265">
        <v>0</v>
      </c>
      <c r="H226" s="265">
        <v>0</v>
      </c>
      <c r="I226" s="54">
        <f t="shared" si="11"/>
        <v>0</v>
      </c>
    </row>
    <row r="227" spans="1:9" x14ac:dyDescent="0.25">
      <c r="A227" s="75">
        <v>6300</v>
      </c>
      <c r="B227" s="46" t="str">
        <f t="shared" si="12"/>
        <v>6</v>
      </c>
      <c r="C227" s="75">
        <v>610</v>
      </c>
      <c r="D227" s="15" t="s">
        <v>122</v>
      </c>
      <c r="E227" s="265">
        <v>0</v>
      </c>
      <c r="F227" s="265">
        <v>0</v>
      </c>
      <c r="G227" s="265">
        <v>0</v>
      </c>
      <c r="H227" s="265">
        <v>0</v>
      </c>
      <c r="I227" s="54">
        <f t="shared" si="11"/>
        <v>0</v>
      </c>
    </row>
    <row r="228" spans="1:9" x14ac:dyDescent="0.25">
      <c r="A228" s="75">
        <v>6300</v>
      </c>
      <c r="B228" s="46" t="str">
        <f t="shared" si="12"/>
        <v>6</v>
      </c>
      <c r="C228" s="75">
        <v>621</v>
      </c>
      <c r="D228" s="15" t="s">
        <v>123</v>
      </c>
      <c r="E228" s="265">
        <v>0</v>
      </c>
      <c r="F228" s="265">
        <v>0</v>
      </c>
      <c r="G228" s="265">
        <v>0</v>
      </c>
      <c r="H228" s="265">
        <v>0</v>
      </c>
      <c r="I228" s="54">
        <f t="shared" si="11"/>
        <v>0</v>
      </c>
    </row>
    <row r="229" spans="1:9" x14ac:dyDescent="0.25">
      <c r="A229" s="75">
        <v>6300</v>
      </c>
      <c r="B229" s="46" t="str">
        <f t="shared" si="12"/>
        <v>6</v>
      </c>
      <c r="C229" s="75">
        <v>622</v>
      </c>
      <c r="D229" s="15" t="s">
        <v>124</v>
      </c>
      <c r="E229" s="265">
        <v>0</v>
      </c>
      <c r="F229" s="265">
        <v>0</v>
      </c>
      <c r="G229" s="265">
        <v>0</v>
      </c>
      <c r="H229" s="265">
        <v>0</v>
      </c>
      <c r="I229" s="54">
        <f t="shared" si="11"/>
        <v>0</v>
      </c>
    </row>
    <row r="230" spans="1:9" x14ac:dyDescent="0.25">
      <c r="A230" s="75">
        <v>6300</v>
      </c>
      <c r="B230" s="46" t="str">
        <f t="shared" si="12"/>
        <v>6</v>
      </c>
      <c r="C230" s="75">
        <v>630</v>
      </c>
      <c r="D230" s="15" t="s">
        <v>125</v>
      </c>
      <c r="E230" s="265">
        <v>0</v>
      </c>
      <c r="F230" s="265">
        <v>0</v>
      </c>
      <c r="G230" s="265">
        <v>0</v>
      </c>
      <c r="H230" s="265">
        <v>0</v>
      </c>
      <c r="I230" s="54">
        <f t="shared" si="11"/>
        <v>0</v>
      </c>
    </row>
    <row r="231" spans="1:9" x14ac:dyDescent="0.25">
      <c r="A231" s="75">
        <v>6300</v>
      </c>
      <c r="B231" s="46" t="str">
        <f t="shared" si="12"/>
        <v>6</v>
      </c>
      <c r="C231" s="75">
        <v>641</v>
      </c>
      <c r="D231" s="15" t="s">
        <v>126</v>
      </c>
      <c r="E231" s="265">
        <v>0</v>
      </c>
      <c r="F231" s="265">
        <v>0</v>
      </c>
      <c r="G231" s="265">
        <v>0</v>
      </c>
      <c r="H231" s="265">
        <v>0</v>
      </c>
      <c r="I231" s="54">
        <f t="shared" si="11"/>
        <v>0</v>
      </c>
    </row>
    <row r="232" spans="1:9" x14ac:dyDescent="0.25">
      <c r="A232" s="75">
        <v>6300</v>
      </c>
      <c r="B232" s="46" t="str">
        <f t="shared" si="12"/>
        <v>6</v>
      </c>
      <c r="C232" s="75">
        <v>642</v>
      </c>
      <c r="D232" s="15" t="s">
        <v>127</v>
      </c>
      <c r="E232" s="265">
        <v>0</v>
      </c>
      <c r="F232" s="265">
        <v>0</v>
      </c>
      <c r="G232" s="265">
        <v>0</v>
      </c>
      <c r="H232" s="265">
        <v>0</v>
      </c>
      <c r="I232" s="54">
        <f t="shared" si="11"/>
        <v>0</v>
      </c>
    </row>
    <row r="233" spans="1:9" x14ac:dyDescent="0.25">
      <c r="A233" s="75">
        <v>6300</v>
      </c>
      <c r="B233" s="46" t="str">
        <f t="shared" si="12"/>
        <v>6</v>
      </c>
      <c r="C233" s="75">
        <v>643</v>
      </c>
      <c r="D233" s="15" t="s">
        <v>128</v>
      </c>
      <c r="E233" s="265">
        <v>0</v>
      </c>
      <c r="F233" s="265">
        <v>0</v>
      </c>
      <c r="G233" s="265">
        <v>0</v>
      </c>
      <c r="H233" s="265">
        <v>0</v>
      </c>
      <c r="I233" s="54">
        <f t="shared" si="11"/>
        <v>0</v>
      </c>
    </row>
    <row r="234" spans="1:9" x14ac:dyDescent="0.25">
      <c r="A234" s="75">
        <v>6300</v>
      </c>
      <c r="B234" s="46" t="str">
        <f t="shared" si="12"/>
        <v>6</v>
      </c>
      <c r="C234" s="75">
        <v>644</v>
      </c>
      <c r="D234" s="15" t="s">
        <v>129</v>
      </c>
      <c r="E234" s="265">
        <v>0</v>
      </c>
      <c r="F234" s="265">
        <v>0</v>
      </c>
      <c r="G234" s="265">
        <v>0</v>
      </c>
      <c r="H234" s="265">
        <v>0</v>
      </c>
      <c r="I234" s="54">
        <f t="shared" si="11"/>
        <v>0</v>
      </c>
    </row>
    <row r="235" spans="1:9" x14ac:dyDescent="0.25">
      <c r="A235" s="75">
        <v>6300</v>
      </c>
      <c r="B235" s="46" t="str">
        <f t="shared" si="12"/>
        <v>6</v>
      </c>
      <c r="C235" s="75">
        <v>680</v>
      </c>
      <c r="D235" s="15" t="s">
        <v>130</v>
      </c>
      <c r="E235" s="265">
        <v>0</v>
      </c>
      <c r="F235" s="265">
        <v>0</v>
      </c>
      <c r="G235" s="265">
        <v>0</v>
      </c>
      <c r="H235" s="265">
        <v>0</v>
      </c>
      <c r="I235" s="54">
        <f t="shared" si="11"/>
        <v>0</v>
      </c>
    </row>
    <row r="236" spans="1:9" x14ac:dyDescent="0.25">
      <c r="A236" s="75">
        <v>6300</v>
      </c>
      <c r="B236" s="46" t="str">
        <f t="shared" si="12"/>
        <v>6</v>
      </c>
      <c r="C236" s="75">
        <v>690</v>
      </c>
      <c r="D236" s="15" t="s">
        <v>131</v>
      </c>
      <c r="E236" s="265">
        <v>0</v>
      </c>
      <c r="F236" s="265">
        <v>0</v>
      </c>
      <c r="G236" s="265">
        <v>0</v>
      </c>
      <c r="H236" s="265">
        <v>0</v>
      </c>
      <c r="I236" s="54">
        <f t="shared" si="11"/>
        <v>0</v>
      </c>
    </row>
    <row r="237" spans="1:9" x14ac:dyDescent="0.25">
      <c r="A237" s="75">
        <v>6300</v>
      </c>
      <c r="B237" s="46" t="str">
        <f t="shared" si="12"/>
        <v>7</v>
      </c>
      <c r="C237" s="75">
        <v>720</v>
      </c>
      <c r="D237" s="15" t="s">
        <v>132</v>
      </c>
      <c r="E237" s="265">
        <v>0</v>
      </c>
      <c r="F237" s="265">
        <v>0</v>
      </c>
      <c r="G237" s="265">
        <v>0</v>
      </c>
      <c r="H237" s="265">
        <v>0</v>
      </c>
      <c r="I237" s="54">
        <f t="shared" si="11"/>
        <v>0</v>
      </c>
    </row>
    <row r="238" spans="1:9" x14ac:dyDescent="0.25">
      <c r="A238" s="75">
        <v>6300</v>
      </c>
      <c r="B238" s="46" t="str">
        <f t="shared" si="12"/>
        <v>7</v>
      </c>
      <c r="C238" s="75">
        <v>730</v>
      </c>
      <c r="D238" s="15" t="s">
        <v>133</v>
      </c>
      <c r="E238" s="265">
        <v>0</v>
      </c>
      <c r="F238" s="265">
        <v>0</v>
      </c>
      <c r="G238" s="265">
        <v>0</v>
      </c>
      <c r="H238" s="265">
        <v>0</v>
      </c>
      <c r="I238" s="54">
        <f t="shared" si="11"/>
        <v>0</v>
      </c>
    </row>
    <row r="239" spans="1:9" x14ac:dyDescent="0.25">
      <c r="A239" s="75">
        <v>6300</v>
      </c>
      <c r="B239" s="46" t="str">
        <f t="shared" si="12"/>
        <v>7</v>
      </c>
      <c r="C239" s="75">
        <v>750</v>
      </c>
      <c r="D239" s="15" t="s">
        <v>134</v>
      </c>
      <c r="E239" s="265">
        <v>0</v>
      </c>
      <c r="F239" s="265">
        <v>0</v>
      </c>
      <c r="G239" s="265">
        <v>0</v>
      </c>
      <c r="H239" s="265">
        <v>0</v>
      </c>
      <c r="I239" s="54">
        <f t="shared" si="11"/>
        <v>0</v>
      </c>
    </row>
    <row r="240" spans="1:9" x14ac:dyDescent="0.25">
      <c r="A240" s="75">
        <v>6300</v>
      </c>
      <c r="B240" s="46" t="str">
        <f t="shared" si="12"/>
        <v>7</v>
      </c>
      <c r="C240" s="75">
        <v>790</v>
      </c>
      <c r="D240" s="15" t="s">
        <v>135</v>
      </c>
      <c r="E240" s="265">
        <v>0</v>
      </c>
      <c r="F240" s="265">
        <v>0</v>
      </c>
      <c r="G240" s="265">
        <v>0</v>
      </c>
      <c r="H240" s="265">
        <v>0</v>
      </c>
      <c r="I240" s="54">
        <f t="shared" si="11"/>
        <v>0</v>
      </c>
    </row>
    <row r="241" spans="1:9" ht="15.5" x14ac:dyDescent="0.35">
      <c r="B241" s="46">
        <v>6000</v>
      </c>
      <c r="D241" s="76" t="s">
        <v>153</v>
      </c>
      <c r="E241" s="77">
        <f>SUM(E201:E240)</f>
        <v>0</v>
      </c>
      <c r="F241" s="77">
        <f>SUM(F201:F240)</f>
        <v>0</v>
      </c>
      <c r="G241" s="77">
        <f>SUM(G201:G240)</f>
        <v>0</v>
      </c>
      <c r="H241" s="77">
        <f>SUM(H201:H240)</f>
        <v>0</v>
      </c>
      <c r="I241" s="77">
        <f>SUM(I201:I240)</f>
        <v>0</v>
      </c>
    </row>
    <row r="242" spans="1:9" ht="18.5" x14ac:dyDescent="0.45">
      <c r="A242" s="48" t="s">
        <v>154</v>
      </c>
      <c r="B242" s="49"/>
      <c r="C242" s="50"/>
      <c r="D242" s="50"/>
      <c r="E242" s="74"/>
      <c r="F242" s="74"/>
      <c r="G242" s="74"/>
      <c r="H242" s="74"/>
      <c r="I242" s="74"/>
    </row>
    <row r="243" spans="1:9" ht="12.65" customHeight="1" x14ac:dyDescent="0.25">
      <c r="A243" s="75">
        <v>6400</v>
      </c>
      <c r="B243" s="46" t="str">
        <f>LEFT(C243,1)</f>
        <v>1</v>
      </c>
      <c r="C243" s="75">
        <v>110</v>
      </c>
      <c r="D243" s="15" t="s">
        <v>102</v>
      </c>
      <c r="E243" s="265">
        <v>0</v>
      </c>
      <c r="F243" s="265">
        <v>0</v>
      </c>
      <c r="G243" s="265">
        <v>0</v>
      </c>
      <c r="H243" s="265">
        <v>0</v>
      </c>
      <c r="I243" s="54">
        <f t="shared" ref="I243:I282" si="13">SUM(E243:H243)</f>
        <v>0</v>
      </c>
    </row>
    <row r="244" spans="1:9" ht="12.65" customHeight="1" x14ac:dyDescent="0.25">
      <c r="A244" s="75">
        <v>6400</v>
      </c>
      <c r="B244" s="46" t="str">
        <f t="shared" ref="B244:B282" si="14">LEFT(C244,1)</f>
        <v>1</v>
      </c>
      <c r="C244" s="75">
        <v>120</v>
      </c>
      <c r="D244" s="15" t="s">
        <v>103</v>
      </c>
      <c r="E244" s="265">
        <v>0</v>
      </c>
      <c r="F244" s="265">
        <v>0</v>
      </c>
      <c r="G244" s="265">
        <v>0</v>
      </c>
      <c r="H244" s="265">
        <v>0</v>
      </c>
      <c r="I244" s="54">
        <f t="shared" si="13"/>
        <v>0</v>
      </c>
    </row>
    <row r="245" spans="1:9" ht="12.65" customHeight="1" x14ac:dyDescent="0.25">
      <c r="A245" s="75">
        <v>6400</v>
      </c>
      <c r="B245" s="46" t="str">
        <f t="shared" si="14"/>
        <v>1</v>
      </c>
      <c r="C245" s="75">
        <v>130</v>
      </c>
      <c r="D245" s="15" t="s">
        <v>104</v>
      </c>
      <c r="E245" s="265">
        <v>0</v>
      </c>
      <c r="F245" s="265">
        <v>0</v>
      </c>
      <c r="G245" s="265">
        <v>0</v>
      </c>
      <c r="H245" s="265">
        <v>0</v>
      </c>
      <c r="I245" s="54">
        <f t="shared" si="13"/>
        <v>0</v>
      </c>
    </row>
    <row r="246" spans="1:9" ht="12.65" customHeight="1" x14ac:dyDescent="0.25">
      <c r="A246" s="75">
        <v>6400</v>
      </c>
      <c r="B246" s="46" t="str">
        <f t="shared" si="14"/>
        <v>1</v>
      </c>
      <c r="C246" s="75">
        <v>140</v>
      </c>
      <c r="D246" s="15" t="s">
        <v>105</v>
      </c>
      <c r="E246" s="265">
        <v>0</v>
      </c>
      <c r="F246" s="265">
        <v>0</v>
      </c>
      <c r="G246" s="265">
        <v>0</v>
      </c>
      <c r="H246" s="265">
        <v>0</v>
      </c>
      <c r="I246" s="54">
        <f t="shared" si="13"/>
        <v>0</v>
      </c>
    </row>
    <row r="247" spans="1:9" ht="12.65" customHeight="1" x14ac:dyDescent="0.25">
      <c r="A247" s="75">
        <v>6400</v>
      </c>
      <c r="B247" s="46" t="str">
        <f t="shared" si="14"/>
        <v>1</v>
      </c>
      <c r="C247" s="75">
        <v>150</v>
      </c>
      <c r="D247" s="15" t="s">
        <v>106</v>
      </c>
      <c r="E247" s="265">
        <v>0</v>
      </c>
      <c r="F247" s="265">
        <v>0</v>
      </c>
      <c r="G247" s="265">
        <v>0</v>
      </c>
      <c r="H247" s="265">
        <v>0</v>
      </c>
      <c r="I247" s="54">
        <f t="shared" si="13"/>
        <v>0</v>
      </c>
    </row>
    <row r="248" spans="1:9" ht="12.65" customHeight="1" x14ac:dyDescent="0.25">
      <c r="A248" s="75">
        <v>6400</v>
      </c>
      <c r="B248" s="46" t="str">
        <f t="shared" si="14"/>
        <v>1</v>
      </c>
      <c r="C248" s="75">
        <v>160</v>
      </c>
      <c r="D248" s="15" t="s">
        <v>107</v>
      </c>
      <c r="E248" s="265">
        <v>0</v>
      </c>
      <c r="F248" s="265">
        <v>0</v>
      </c>
      <c r="G248" s="265">
        <v>0</v>
      </c>
      <c r="H248" s="265">
        <v>0</v>
      </c>
      <c r="I248" s="54">
        <f t="shared" si="13"/>
        <v>0</v>
      </c>
    </row>
    <row r="249" spans="1:9" ht="12.65" customHeight="1" x14ac:dyDescent="0.25">
      <c r="A249" s="75">
        <v>6400</v>
      </c>
      <c r="B249" s="46" t="str">
        <f t="shared" si="14"/>
        <v>2</v>
      </c>
      <c r="C249" s="75">
        <v>210</v>
      </c>
      <c r="D249" s="15" t="s">
        <v>108</v>
      </c>
      <c r="E249" s="265">
        <v>0</v>
      </c>
      <c r="F249" s="265">
        <v>0</v>
      </c>
      <c r="G249" s="265">
        <v>0</v>
      </c>
      <c r="H249" s="265">
        <v>0</v>
      </c>
      <c r="I249" s="54">
        <f t="shared" si="13"/>
        <v>0</v>
      </c>
    </row>
    <row r="250" spans="1:9" ht="12.65" customHeight="1" x14ac:dyDescent="0.25">
      <c r="A250" s="75">
        <v>6400</v>
      </c>
      <c r="B250" s="46" t="str">
        <f t="shared" si="14"/>
        <v>2</v>
      </c>
      <c r="C250" s="75">
        <v>220</v>
      </c>
      <c r="D250" s="15" t="s">
        <v>109</v>
      </c>
      <c r="E250" s="265">
        <v>0</v>
      </c>
      <c r="F250" s="265">
        <v>0</v>
      </c>
      <c r="G250" s="265">
        <v>0</v>
      </c>
      <c r="H250" s="265">
        <v>0</v>
      </c>
      <c r="I250" s="54">
        <f t="shared" si="13"/>
        <v>0</v>
      </c>
    </row>
    <row r="251" spans="1:9" ht="12.65" customHeight="1" x14ac:dyDescent="0.25">
      <c r="A251" s="75">
        <v>6400</v>
      </c>
      <c r="B251" s="46" t="str">
        <f t="shared" si="14"/>
        <v>2</v>
      </c>
      <c r="C251" s="75">
        <v>230</v>
      </c>
      <c r="D251" s="15" t="s">
        <v>110</v>
      </c>
      <c r="E251" s="265">
        <v>0</v>
      </c>
      <c r="F251" s="265">
        <v>0</v>
      </c>
      <c r="G251" s="265">
        <v>0</v>
      </c>
      <c r="H251" s="265">
        <v>0</v>
      </c>
      <c r="I251" s="54">
        <f t="shared" si="13"/>
        <v>0</v>
      </c>
    </row>
    <row r="252" spans="1:9" ht="12.65" customHeight="1" x14ac:dyDescent="0.25">
      <c r="A252" s="75">
        <v>6400</v>
      </c>
      <c r="B252" s="46" t="str">
        <f t="shared" si="14"/>
        <v>2</v>
      </c>
      <c r="C252" s="75">
        <v>240</v>
      </c>
      <c r="D252" s="15" t="s">
        <v>111</v>
      </c>
      <c r="E252" s="265">
        <v>0</v>
      </c>
      <c r="F252" s="265">
        <v>0</v>
      </c>
      <c r="G252" s="265">
        <v>0</v>
      </c>
      <c r="H252" s="265">
        <v>0</v>
      </c>
      <c r="I252" s="54">
        <f t="shared" si="13"/>
        <v>0</v>
      </c>
    </row>
    <row r="253" spans="1:9" ht="12.65" customHeight="1" x14ac:dyDescent="0.25">
      <c r="A253" s="75">
        <v>6400</v>
      </c>
      <c r="B253" s="46" t="str">
        <f t="shared" si="14"/>
        <v>2</v>
      </c>
      <c r="C253" s="75">
        <v>250</v>
      </c>
      <c r="D253" s="15" t="s">
        <v>112</v>
      </c>
      <c r="E253" s="265">
        <v>0</v>
      </c>
      <c r="F253" s="265">
        <v>0</v>
      </c>
      <c r="G253" s="265">
        <v>0</v>
      </c>
      <c r="H253" s="265">
        <v>0</v>
      </c>
      <c r="I253" s="54">
        <f t="shared" si="13"/>
        <v>0</v>
      </c>
    </row>
    <row r="254" spans="1:9" ht="12.65" customHeight="1" x14ac:dyDescent="0.25">
      <c r="A254" s="75">
        <v>6400</v>
      </c>
      <c r="B254" s="46" t="str">
        <f t="shared" si="14"/>
        <v>2</v>
      </c>
      <c r="C254" s="75">
        <v>290</v>
      </c>
      <c r="D254" s="15" t="s">
        <v>113</v>
      </c>
      <c r="E254" s="265">
        <v>0</v>
      </c>
      <c r="F254" s="265">
        <v>0</v>
      </c>
      <c r="G254" s="265">
        <v>0</v>
      </c>
      <c r="H254" s="265">
        <v>0</v>
      </c>
      <c r="I254" s="54">
        <f t="shared" si="13"/>
        <v>0</v>
      </c>
    </row>
    <row r="255" spans="1:9" x14ac:dyDescent="0.25">
      <c r="A255" s="75">
        <v>6400</v>
      </c>
      <c r="B255" s="46" t="str">
        <f t="shared" si="14"/>
        <v>3</v>
      </c>
      <c r="C255" s="75">
        <v>310</v>
      </c>
      <c r="D255" s="15" t="s">
        <v>114</v>
      </c>
      <c r="E255" s="265">
        <v>14000</v>
      </c>
      <c r="F255" s="265">
        <v>0</v>
      </c>
      <c r="G255" s="265">
        <v>0</v>
      </c>
      <c r="H255" s="265">
        <v>0</v>
      </c>
      <c r="I255" s="54">
        <f t="shared" si="13"/>
        <v>14000</v>
      </c>
    </row>
    <row r="256" spans="1:9" x14ac:dyDescent="0.25">
      <c r="A256" s="75">
        <v>6400</v>
      </c>
      <c r="B256" s="46" t="str">
        <f t="shared" si="14"/>
        <v>3</v>
      </c>
      <c r="C256" s="75">
        <v>320</v>
      </c>
      <c r="D256" s="15" t="s">
        <v>115</v>
      </c>
      <c r="E256" s="265">
        <v>0</v>
      </c>
      <c r="F256" s="265">
        <v>0</v>
      </c>
      <c r="G256" s="265">
        <v>0</v>
      </c>
      <c r="H256" s="265">
        <v>0</v>
      </c>
      <c r="I256" s="54">
        <f t="shared" si="13"/>
        <v>0</v>
      </c>
    </row>
    <row r="257" spans="1:9" x14ac:dyDescent="0.25">
      <c r="A257" s="75">
        <v>6400</v>
      </c>
      <c r="B257" s="46" t="str">
        <f t="shared" si="14"/>
        <v>3</v>
      </c>
      <c r="C257" s="75">
        <v>330</v>
      </c>
      <c r="D257" s="15" t="s">
        <v>84</v>
      </c>
      <c r="E257" s="265">
        <v>0</v>
      </c>
      <c r="F257" s="265">
        <v>0</v>
      </c>
      <c r="G257" s="265">
        <v>0</v>
      </c>
      <c r="H257" s="265">
        <v>0</v>
      </c>
      <c r="I257" s="54">
        <f t="shared" si="13"/>
        <v>0</v>
      </c>
    </row>
    <row r="258" spans="1:9" x14ac:dyDescent="0.25">
      <c r="A258" s="75">
        <v>6400</v>
      </c>
      <c r="B258" s="46" t="str">
        <f t="shared" si="14"/>
        <v>3</v>
      </c>
      <c r="C258" s="75">
        <v>350</v>
      </c>
      <c r="D258" s="15" t="s">
        <v>116</v>
      </c>
      <c r="E258" s="265">
        <v>0</v>
      </c>
      <c r="F258" s="265">
        <v>0</v>
      </c>
      <c r="G258" s="265">
        <v>0</v>
      </c>
      <c r="H258" s="265">
        <v>0</v>
      </c>
      <c r="I258" s="54">
        <f t="shared" si="13"/>
        <v>0</v>
      </c>
    </row>
    <row r="259" spans="1:9" x14ac:dyDescent="0.25">
      <c r="A259" s="75">
        <v>6400</v>
      </c>
      <c r="B259" s="46" t="str">
        <f t="shared" si="14"/>
        <v>3</v>
      </c>
      <c r="C259" s="75">
        <v>360</v>
      </c>
      <c r="D259" s="15" t="s">
        <v>92</v>
      </c>
      <c r="E259" s="265">
        <v>0</v>
      </c>
      <c r="F259" s="265">
        <v>0</v>
      </c>
      <c r="G259" s="265">
        <v>0</v>
      </c>
      <c r="H259" s="265">
        <v>0</v>
      </c>
      <c r="I259" s="54">
        <f t="shared" si="13"/>
        <v>0</v>
      </c>
    </row>
    <row r="260" spans="1:9" x14ac:dyDescent="0.25">
      <c r="A260" s="75">
        <v>6400</v>
      </c>
      <c r="B260" s="46" t="str">
        <f t="shared" si="14"/>
        <v>3</v>
      </c>
      <c r="C260" s="75">
        <v>370</v>
      </c>
      <c r="D260" s="15" t="s">
        <v>93</v>
      </c>
      <c r="E260" s="265">
        <v>0</v>
      </c>
      <c r="F260" s="265">
        <v>0</v>
      </c>
      <c r="G260" s="265">
        <v>0</v>
      </c>
      <c r="H260" s="265">
        <v>0</v>
      </c>
      <c r="I260" s="54">
        <f t="shared" si="13"/>
        <v>0</v>
      </c>
    </row>
    <row r="261" spans="1:9" x14ac:dyDescent="0.25">
      <c r="A261" s="75">
        <v>6400</v>
      </c>
      <c r="B261" s="46" t="str">
        <f t="shared" si="14"/>
        <v>3</v>
      </c>
      <c r="C261" s="75">
        <v>380</v>
      </c>
      <c r="D261" s="15" t="s">
        <v>117</v>
      </c>
      <c r="E261" s="265">
        <v>0</v>
      </c>
      <c r="F261" s="265">
        <v>0</v>
      </c>
      <c r="G261" s="265">
        <v>0</v>
      </c>
      <c r="H261" s="265">
        <v>0</v>
      </c>
      <c r="I261" s="54">
        <f t="shared" si="13"/>
        <v>0</v>
      </c>
    </row>
    <row r="262" spans="1:9" x14ac:dyDescent="0.25">
      <c r="A262" s="75">
        <v>6400</v>
      </c>
      <c r="B262" s="46" t="str">
        <f t="shared" si="14"/>
        <v>3</v>
      </c>
      <c r="C262" s="75">
        <v>390</v>
      </c>
      <c r="D262" s="15" t="s">
        <v>118</v>
      </c>
      <c r="E262" s="265">
        <v>0</v>
      </c>
      <c r="F262" s="265">
        <v>0</v>
      </c>
      <c r="G262" s="265">
        <v>0</v>
      </c>
      <c r="H262" s="265">
        <v>0</v>
      </c>
      <c r="I262" s="54">
        <f t="shared" si="13"/>
        <v>0</v>
      </c>
    </row>
    <row r="263" spans="1:9" x14ac:dyDescent="0.25">
      <c r="A263" s="75">
        <v>6400</v>
      </c>
      <c r="B263" s="46" t="str">
        <f t="shared" si="14"/>
        <v>4</v>
      </c>
      <c r="C263" s="75">
        <v>430</v>
      </c>
      <c r="D263" s="15" t="s">
        <v>119</v>
      </c>
      <c r="E263" s="265">
        <v>0</v>
      </c>
      <c r="F263" s="265">
        <v>0</v>
      </c>
      <c r="G263" s="265">
        <v>0</v>
      </c>
      <c r="H263" s="265">
        <v>0</v>
      </c>
      <c r="I263" s="54">
        <f t="shared" si="13"/>
        <v>0</v>
      </c>
    </row>
    <row r="264" spans="1:9" x14ac:dyDescent="0.25">
      <c r="A264" s="75">
        <v>6400</v>
      </c>
      <c r="B264" s="46" t="str">
        <f t="shared" si="14"/>
        <v>5</v>
      </c>
      <c r="C264" s="75">
        <v>510</v>
      </c>
      <c r="D264" s="15" t="s">
        <v>94</v>
      </c>
      <c r="E264" s="265">
        <v>0</v>
      </c>
      <c r="F264" s="265">
        <v>0</v>
      </c>
      <c r="G264" s="265">
        <v>0</v>
      </c>
      <c r="H264" s="265">
        <v>0</v>
      </c>
      <c r="I264" s="54">
        <f t="shared" si="13"/>
        <v>0</v>
      </c>
    </row>
    <row r="265" spans="1:9" x14ac:dyDescent="0.25">
      <c r="A265" s="75">
        <v>6400</v>
      </c>
      <c r="B265" s="46" t="str">
        <f t="shared" si="14"/>
        <v>5</v>
      </c>
      <c r="C265" s="75">
        <v>520</v>
      </c>
      <c r="D265" s="15" t="s">
        <v>95</v>
      </c>
      <c r="E265" s="265">
        <v>0</v>
      </c>
      <c r="F265" s="265">
        <v>0</v>
      </c>
      <c r="G265" s="265">
        <v>0</v>
      </c>
      <c r="H265" s="265">
        <v>0</v>
      </c>
      <c r="I265" s="54">
        <f t="shared" si="13"/>
        <v>0</v>
      </c>
    </row>
    <row r="266" spans="1:9" x14ac:dyDescent="0.25">
      <c r="A266" s="75">
        <v>6400</v>
      </c>
      <c r="B266" s="46" t="str">
        <f t="shared" si="14"/>
        <v>5</v>
      </c>
      <c r="C266" s="75">
        <v>530</v>
      </c>
      <c r="D266" s="15" t="s">
        <v>120</v>
      </c>
      <c r="E266" s="265">
        <v>0</v>
      </c>
      <c r="F266" s="265">
        <v>0</v>
      </c>
      <c r="G266" s="265">
        <v>0</v>
      </c>
      <c r="H266" s="265">
        <v>0</v>
      </c>
      <c r="I266" s="54">
        <f t="shared" si="13"/>
        <v>0</v>
      </c>
    </row>
    <row r="267" spans="1:9" x14ac:dyDescent="0.25">
      <c r="A267" s="75">
        <v>6400</v>
      </c>
      <c r="B267" s="46" t="str">
        <f t="shared" si="14"/>
        <v>5</v>
      </c>
      <c r="C267" s="75">
        <v>570</v>
      </c>
      <c r="D267" s="15" t="s">
        <v>85</v>
      </c>
      <c r="E267" s="265">
        <v>0</v>
      </c>
      <c r="F267" s="265">
        <v>0</v>
      </c>
      <c r="G267" s="265">
        <v>0</v>
      </c>
      <c r="H267" s="265">
        <v>0</v>
      </c>
      <c r="I267" s="54">
        <f t="shared" si="13"/>
        <v>0</v>
      </c>
    </row>
    <row r="268" spans="1:9" x14ac:dyDescent="0.25">
      <c r="A268" s="75">
        <v>6400</v>
      </c>
      <c r="B268" s="46" t="str">
        <f t="shared" si="14"/>
        <v>5</v>
      </c>
      <c r="C268" s="75">
        <v>590</v>
      </c>
      <c r="D268" s="15" t="s">
        <v>121</v>
      </c>
      <c r="E268" s="265">
        <v>0</v>
      </c>
      <c r="F268" s="265">
        <v>0</v>
      </c>
      <c r="G268" s="265">
        <v>0</v>
      </c>
      <c r="H268" s="265">
        <v>0</v>
      </c>
      <c r="I268" s="54">
        <f t="shared" si="13"/>
        <v>0</v>
      </c>
    </row>
    <row r="269" spans="1:9" x14ac:dyDescent="0.25">
      <c r="A269" s="75">
        <v>6400</v>
      </c>
      <c r="B269" s="46" t="str">
        <f t="shared" si="14"/>
        <v>6</v>
      </c>
      <c r="C269" s="75">
        <v>610</v>
      </c>
      <c r="D269" s="15" t="s">
        <v>122</v>
      </c>
      <c r="E269" s="265">
        <v>0</v>
      </c>
      <c r="F269" s="265">
        <v>0</v>
      </c>
      <c r="G269" s="265">
        <v>0</v>
      </c>
      <c r="H269" s="265">
        <v>0</v>
      </c>
      <c r="I269" s="54">
        <f t="shared" si="13"/>
        <v>0</v>
      </c>
    </row>
    <row r="270" spans="1:9" x14ac:dyDescent="0.25">
      <c r="A270" s="75">
        <v>6400</v>
      </c>
      <c r="B270" s="46" t="str">
        <f t="shared" si="14"/>
        <v>6</v>
      </c>
      <c r="C270" s="75">
        <v>621</v>
      </c>
      <c r="D270" s="15" t="s">
        <v>123</v>
      </c>
      <c r="E270" s="265">
        <v>0</v>
      </c>
      <c r="F270" s="265">
        <v>0</v>
      </c>
      <c r="G270" s="265">
        <v>0</v>
      </c>
      <c r="H270" s="265">
        <v>0</v>
      </c>
      <c r="I270" s="54">
        <f t="shared" si="13"/>
        <v>0</v>
      </c>
    </row>
    <row r="271" spans="1:9" x14ac:dyDescent="0.25">
      <c r="A271" s="75">
        <v>6400</v>
      </c>
      <c r="B271" s="46" t="str">
        <f t="shared" si="14"/>
        <v>6</v>
      </c>
      <c r="C271" s="75">
        <v>622</v>
      </c>
      <c r="D271" s="15" t="s">
        <v>124</v>
      </c>
      <c r="E271" s="265">
        <v>0</v>
      </c>
      <c r="F271" s="265">
        <v>0</v>
      </c>
      <c r="G271" s="265">
        <v>0</v>
      </c>
      <c r="H271" s="265">
        <v>0</v>
      </c>
      <c r="I271" s="54">
        <f t="shared" si="13"/>
        <v>0</v>
      </c>
    </row>
    <row r="272" spans="1:9" x14ac:dyDescent="0.25">
      <c r="A272" s="75">
        <v>6400</v>
      </c>
      <c r="B272" s="46" t="str">
        <f t="shared" si="14"/>
        <v>6</v>
      </c>
      <c r="C272" s="75">
        <v>630</v>
      </c>
      <c r="D272" s="15" t="s">
        <v>125</v>
      </c>
      <c r="E272" s="265">
        <v>0</v>
      </c>
      <c r="F272" s="265">
        <v>0</v>
      </c>
      <c r="G272" s="265">
        <v>0</v>
      </c>
      <c r="H272" s="265">
        <v>0</v>
      </c>
      <c r="I272" s="54">
        <f t="shared" si="13"/>
        <v>0</v>
      </c>
    </row>
    <row r="273" spans="1:9" x14ac:dyDescent="0.25">
      <c r="A273" s="75">
        <v>6400</v>
      </c>
      <c r="B273" s="46" t="str">
        <f t="shared" si="14"/>
        <v>6</v>
      </c>
      <c r="C273" s="75">
        <v>641</v>
      </c>
      <c r="D273" s="15" t="s">
        <v>126</v>
      </c>
      <c r="E273" s="265">
        <v>0</v>
      </c>
      <c r="F273" s="265">
        <v>0</v>
      </c>
      <c r="G273" s="265">
        <v>0</v>
      </c>
      <c r="H273" s="265">
        <v>0</v>
      </c>
      <c r="I273" s="54">
        <f t="shared" si="13"/>
        <v>0</v>
      </c>
    </row>
    <row r="274" spans="1:9" x14ac:dyDescent="0.25">
      <c r="A274" s="75">
        <v>6400</v>
      </c>
      <c r="B274" s="46" t="str">
        <f t="shared" si="14"/>
        <v>6</v>
      </c>
      <c r="C274" s="75">
        <v>642</v>
      </c>
      <c r="D274" s="15" t="s">
        <v>127</v>
      </c>
      <c r="E274" s="265">
        <v>0</v>
      </c>
      <c r="F274" s="265">
        <v>0</v>
      </c>
      <c r="G274" s="265">
        <v>0</v>
      </c>
      <c r="H274" s="265">
        <v>0</v>
      </c>
      <c r="I274" s="54">
        <f t="shared" si="13"/>
        <v>0</v>
      </c>
    </row>
    <row r="275" spans="1:9" x14ac:dyDescent="0.25">
      <c r="A275" s="75">
        <v>6400</v>
      </c>
      <c r="B275" s="46" t="str">
        <f t="shared" si="14"/>
        <v>6</v>
      </c>
      <c r="C275" s="75">
        <v>643</v>
      </c>
      <c r="D275" s="15" t="s">
        <v>128</v>
      </c>
      <c r="E275" s="265">
        <v>0</v>
      </c>
      <c r="F275" s="265">
        <v>0</v>
      </c>
      <c r="G275" s="265">
        <v>0</v>
      </c>
      <c r="H275" s="265">
        <v>0</v>
      </c>
      <c r="I275" s="54">
        <f t="shared" si="13"/>
        <v>0</v>
      </c>
    </row>
    <row r="276" spans="1:9" x14ac:dyDescent="0.25">
      <c r="A276" s="75">
        <v>6400</v>
      </c>
      <c r="B276" s="46" t="str">
        <f t="shared" si="14"/>
        <v>6</v>
      </c>
      <c r="C276" s="75">
        <v>644</v>
      </c>
      <c r="D276" s="15" t="s">
        <v>129</v>
      </c>
      <c r="E276" s="265">
        <v>0</v>
      </c>
      <c r="F276" s="265">
        <v>0</v>
      </c>
      <c r="G276" s="265">
        <v>0</v>
      </c>
      <c r="H276" s="265">
        <v>0</v>
      </c>
      <c r="I276" s="54">
        <f t="shared" si="13"/>
        <v>0</v>
      </c>
    </row>
    <row r="277" spans="1:9" x14ac:dyDescent="0.25">
      <c r="A277" s="75">
        <v>6400</v>
      </c>
      <c r="B277" s="46" t="str">
        <f t="shared" si="14"/>
        <v>6</v>
      </c>
      <c r="C277" s="75">
        <v>680</v>
      </c>
      <c r="D277" s="15" t="s">
        <v>130</v>
      </c>
      <c r="E277" s="265">
        <v>0</v>
      </c>
      <c r="F277" s="265">
        <v>0</v>
      </c>
      <c r="G277" s="265">
        <v>0</v>
      </c>
      <c r="H277" s="265">
        <v>0</v>
      </c>
      <c r="I277" s="54">
        <f t="shared" si="13"/>
        <v>0</v>
      </c>
    </row>
    <row r="278" spans="1:9" x14ac:dyDescent="0.25">
      <c r="A278" s="75">
        <v>6400</v>
      </c>
      <c r="B278" s="46" t="str">
        <f t="shared" si="14"/>
        <v>6</v>
      </c>
      <c r="C278" s="75">
        <v>690</v>
      </c>
      <c r="D278" s="15" t="s">
        <v>131</v>
      </c>
      <c r="E278" s="265">
        <v>0</v>
      </c>
      <c r="F278" s="265">
        <v>0</v>
      </c>
      <c r="G278" s="265">
        <v>0</v>
      </c>
      <c r="H278" s="265">
        <v>0</v>
      </c>
      <c r="I278" s="54">
        <f t="shared" si="13"/>
        <v>0</v>
      </c>
    </row>
    <row r="279" spans="1:9" x14ac:dyDescent="0.25">
      <c r="A279" s="75">
        <v>6400</v>
      </c>
      <c r="B279" s="46" t="str">
        <f t="shared" si="14"/>
        <v>7</v>
      </c>
      <c r="C279" s="75">
        <v>720</v>
      </c>
      <c r="D279" s="15" t="s">
        <v>132</v>
      </c>
      <c r="E279" s="265">
        <v>0</v>
      </c>
      <c r="F279" s="265">
        <v>0</v>
      </c>
      <c r="G279" s="265">
        <v>0</v>
      </c>
      <c r="H279" s="265">
        <v>0</v>
      </c>
      <c r="I279" s="54">
        <f t="shared" si="13"/>
        <v>0</v>
      </c>
    </row>
    <row r="280" spans="1:9" x14ac:dyDescent="0.25">
      <c r="A280" s="75">
        <v>6400</v>
      </c>
      <c r="B280" s="46" t="str">
        <f t="shared" si="14"/>
        <v>7</v>
      </c>
      <c r="C280" s="75">
        <v>730</v>
      </c>
      <c r="D280" s="15" t="s">
        <v>133</v>
      </c>
      <c r="E280" s="265">
        <v>0</v>
      </c>
      <c r="F280" s="265">
        <v>0</v>
      </c>
      <c r="G280" s="265">
        <v>0</v>
      </c>
      <c r="H280" s="265">
        <v>0</v>
      </c>
      <c r="I280" s="54">
        <f t="shared" si="13"/>
        <v>0</v>
      </c>
    </row>
    <row r="281" spans="1:9" x14ac:dyDescent="0.25">
      <c r="A281" s="75">
        <v>6400</v>
      </c>
      <c r="B281" s="46" t="str">
        <f t="shared" si="14"/>
        <v>7</v>
      </c>
      <c r="C281" s="75">
        <v>750</v>
      </c>
      <c r="D281" s="15" t="s">
        <v>134</v>
      </c>
      <c r="E281" s="265">
        <v>0</v>
      </c>
      <c r="F281" s="265">
        <v>0</v>
      </c>
      <c r="G281" s="265">
        <v>0</v>
      </c>
      <c r="H281" s="265">
        <v>0</v>
      </c>
      <c r="I281" s="54">
        <f t="shared" si="13"/>
        <v>0</v>
      </c>
    </row>
    <row r="282" spans="1:9" x14ac:dyDescent="0.25">
      <c r="A282" s="75">
        <v>6400</v>
      </c>
      <c r="B282" s="46" t="str">
        <f t="shared" si="14"/>
        <v>7</v>
      </c>
      <c r="C282" s="75">
        <v>790</v>
      </c>
      <c r="D282" s="15" t="s">
        <v>135</v>
      </c>
      <c r="E282" s="265">
        <v>0</v>
      </c>
      <c r="F282" s="265">
        <v>0</v>
      </c>
      <c r="G282" s="265">
        <v>0</v>
      </c>
      <c r="H282" s="265">
        <v>0</v>
      </c>
      <c r="I282" s="54">
        <f t="shared" si="13"/>
        <v>0</v>
      </c>
    </row>
    <row r="283" spans="1:9" ht="15.5" x14ac:dyDescent="0.35">
      <c r="B283" s="46">
        <v>6000</v>
      </c>
      <c r="D283" s="76" t="s">
        <v>155</v>
      </c>
      <c r="E283" s="77">
        <f>SUM(E243:E282)</f>
        <v>14000</v>
      </c>
      <c r="F283" s="77">
        <f>SUM(F243:F282)</f>
        <v>0</v>
      </c>
      <c r="G283" s="77">
        <f>SUM(G243:G282)</f>
        <v>0</v>
      </c>
      <c r="H283" s="77">
        <f>SUM(H243:H282)</f>
        <v>0</v>
      </c>
      <c r="I283" s="77">
        <f>SUM(I243:I282)</f>
        <v>14000</v>
      </c>
    </row>
    <row r="284" spans="1:9" ht="18.5" x14ac:dyDescent="0.45">
      <c r="A284" s="48" t="s">
        <v>156</v>
      </c>
      <c r="B284" s="49"/>
      <c r="C284" s="50"/>
      <c r="D284" s="50"/>
      <c r="E284" s="74"/>
      <c r="F284" s="74"/>
      <c r="G284" s="74"/>
      <c r="H284" s="74"/>
      <c r="I284" s="74"/>
    </row>
    <row r="285" spans="1:9" ht="12.65" customHeight="1" x14ac:dyDescent="0.25">
      <c r="A285" s="75">
        <v>6500</v>
      </c>
      <c r="B285" s="46" t="str">
        <f>LEFT(C285,1)</f>
        <v>1</v>
      </c>
      <c r="C285" s="75">
        <v>110</v>
      </c>
      <c r="D285" s="15" t="s">
        <v>102</v>
      </c>
      <c r="E285" s="265">
        <v>0</v>
      </c>
      <c r="F285" s="265">
        <v>0</v>
      </c>
      <c r="G285" s="265">
        <v>0</v>
      </c>
      <c r="H285" s="265">
        <v>0</v>
      </c>
      <c r="I285" s="54">
        <f t="shared" ref="I285:I324" si="15">SUM(E285:H285)</f>
        <v>0</v>
      </c>
    </row>
    <row r="286" spans="1:9" ht="12.65" customHeight="1" x14ac:dyDescent="0.25">
      <c r="A286" s="75">
        <v>6500</v>
      </c>
      <c r="B286" s="46" t="str">
        <f t="shared" ref="B286:B324" si="16">LEFT(C286,1)</f>
        <v>1</v>
      </c>
      <c r="C286" s="75">
        <v>120</v>
      </c>
      <c r="D286" s="15" t="s">
        <v>103</v>
      </c>
      <c r="E286" s="265">
        <v>0</v>
      </c>
      <c r="F286" s="265">
        <v>0</v>
      </c>
      <c r="G286" s="265">
        <v>0</v>
      </c>
      <c r="H286" s="265">
        <v>0</v>
      </c>
      <c r="I286" s="54">
        <f t="shared" si="15"/>
        <v>0</v>
      </c>
    </row>
    <row r="287" spans="1:9" ht="12.65" customHeight="1" x14ac:dyDescent="0.25">
      <c r="A287" s="75">
        <v>6500</v>
      </c>
      <c r="B287" s="46" t="str">
        <f t="shared" si="16"/>
        <v>1</v>
      </c>
      <c r="C287" s="75">
        <v>130</v>
      </c>
      <c r="D287" s="15" t="s">
        <v>104</v>
      </c>
      <c r="E287" s="265">
        <v>0</v>
      </c>
      <c r="F287" s="265">
        <v>0</v>
      </c>
      <c r="G287" s="265">
        <v>0</v>
      </c>
      <c r="H287" s="265">
        <v>0</v>
      </c>
      <c r="I287" s="54">
        <f t="shared" si="15"/>
        <v>0</v>
      </c>
    </row>
    <row r="288" spans="1:9" ht="12.65" customHeight="1" x14ac:dyDescent="0.25">
      <c r="A288" s="75">
        <v>6500</v>
      </c>
      <c r="B288" s="46" t="str">
        <f t="shared" si="16"/>
        <v>1</v>
      </c>
      <c r="C288" s="75">
        <v>140</v>
      </c>
      <c r="D288" s="15" t="s">
        <v>105</v>
      </c>
      <c r="E288" s="265">
        <v>0</v>
      </c>
      <c r="F288" s="265">
        <v>0</v>
      </c>
      <c r="G288" s="265">
        <v>0</v>
      </c>
      <c r="H288" s="265">
        <v>0</v>
      </c>
      <c r="I288" s="54">
        <f t="shared" si="15"/>
        <v>0</v>
      </c>
    </row>
    <row r="289" spans="1:9" ht="12.65" customHeight="1" x14ac:dyDescent="0.25">
      <c r="A289" s="75">
        <v>6500</v>
      </c>
      <c r="B289" s="46" t="str">
        <f t="shared" si="16"/>
        <v>1</v>
      </c>
      <c r="C289" s="75">
        <v>150</v>
      </c>
      <c r="D289" s="15" t="s">
        <v>106</v>
      </c>
      <c r="E289" s="265">
        <v>0</v>
      </c>
      <c r="F289" s="265">
        <v>0</v>
      </c>
      <c r="G289" s="265">
        <v>0</v>
      </c>
      <c r="H289" s="265">
        <v>0</v>
      </c>
      <c r="I289" s="54">
        <f t="shared" si="15"/>
        <v>0</v>
      </c>
    </row>
    <row r="290" spans="1:9" ht="12.65" customHeight="1" x14ac:dyDescent="0.25">
      <c r="A290" s="75">
        <v>6500</v>
      </c>
      <c r="B290" s="46" t="str">
        <f t="shared" si="16"/>
        <v>1</v>
      </c>
      <c r="C290" s="75">
        <v>160</v>
      </c>
      <c r="D290" s="15" t="s">
        <v>107</v>
      </c>
      <c r="E290" s="265">
        <v>0</v>
      </c>
      <c r="F290" s="265">
        <v>0</v>
      </c>
      <c r="G290" s="265">
        <v>0</v>
      </c>
      <c r="H290" s="265">
        <v>0</v>
      </c>
      <c r="I290" s="54">
        <f t="shared" si="15"/>
        <v>0</v>
      </c>
    </row>
    <row r="291" spans="1:9" ht="12.65" customHeight="1" x14ac:dyDescent="0.25">
      <c r="A291" s="75">
        <v>6500</v>
      </c>
      <c r="B291" s="46" t="str">
        <f t="shared" si="16"/>
        <v>2</v>
      </c>
      <c r="C291" s="75">
        <v>210</v>
      </c>
      <c r="D291" s="15" t="s">
        <v>108</v>
      </c>
      <c r="E291" s="265">
        <v>0</v>
      </c>
      <c r="F291" s="265">
        <v>0</v>
      </c>
      <c r="G291" s="265">
        <v>0</v>
      </c>
      <c r="H291" s="265">
        <v>0</v>
      </c>
      <c r="I291" s="54">
        <f t="shared" si="15"/>
        <v>0</v>
      </c>
    </row>
    <row r="292" spans="1:9" ht="12.65" customHeight="1" x14ac:dyDescent="0.25">
      <c r="A292" s="75">
        <v>6500</v>
      </c>
      <c r="B292" s="46" t="str">
        <f t="shared" si="16"/>
        <v>2</v>
      </c>
      <c r="C292" s="75">
        <v>220</v>
      </c>
      <c r="D292" s="15" t="s">
        <v>109</v>
      </c>
      <c r="E292" s="265">
        <v>0</v>
      </c>
      <c r="F292" s="265">
        <v>0</v>
      </c>
      <c r="G292" s="265">
        <v>0</v>
      </c>
      <c r="H292" s="265">
        <v>0</v>
      </c>
      <c r="I292" s="54">
        <f t="shared" si="15"/>
        <v>0</v>
      </c>
    </row>
    <row r="293" spans="1:9" ht="12.65" customHeight="1" x14ac:dyDescent="0.25">
      <c r="A293" s="75">
        <v>6500</v>
      </c>
      <c r="B293" s="46" t="str">
        <f t="shared" si="16"/>
        <v>2</v>
      </c>
      <c r="C293" s="75">
        <v>230</v>
      </c>
      <c r="D293" s="15" t="s">
        <v>110</v>
      </c>
      <c r="E293" s="265">
        <v>0</v>
      </c>
      <c r="F293" s="265">
        <v>0</v>
      </c>
      <c r="G293" s="265">
        <v>0</v>
      </c>
      <c r="H293" s="265">
        <v>0</v>
      </c>
      <c r="I293" s="54">
        <f t="shared" si="15"/>
        <v>0</v>
      </c>
    </row>
    <row r="294" spans="1:9" ht="12.65" customHeight="1" x14ac:dyDescent="0.25">
      <c r="A294" s="75">
        <v>6500</v>
      </c>
      <c r="B294" s="46" t="str">
        <f t="shared" si="16"/>
        <v>2</v>
      </c>
      <c r="C294" s="75">
        <v>240</v>
      </c>
      <c r="D294" s="15" t="s">
        <v>111</v>
      </c>
      <c r="E294" s="265">
        <v>0</v>
      </c>
      <c r="F294" s="265">
        <v>0</v>
      </c>
      <c r="G294" s="265">
        <v>0</v>
      </c>
      <c r="H294" s="265">
        <v>0</v>
      </c>
      <c r="I294" s="54">
        <f t="shared" si="15"/>
        <v>0</v>
      </c>
    </row>
    <row r="295" spans="1:9" ht="12.65" customHeight="1" x14ac:dyDescent="0.25">
      <c r="A295" s="75">
        <v>6500</v>
      </c>
      <c r="B295" s="46" t="str">
        <f t="shared" si="16"/>
        <v>2</v>
      </c>
      <c r="C295" s="75">
        <v>250</v>
      </c>
      <c r="D295" s="15" t="s">
        <v>112</v>
      </c>
      <c r="E295" s="265">
        <v>0</v>
      </c>
      <c r="F295" s="265">
        <v>0</v>
      </c>
      <c r="G295" s="265">
        <v>0</v>
      </c>
      <c r="H295" s="265">
        <v>0</v>
      </c>
      <c r="I295" s="54">
        <f t="shared" si="15"/>
        <v>0</v>
      </c>
    </row>
    <row r="296" spans="1:9" ht="12.65" customHeight="1" x14ac:dyDescent="0.25">
      <c r="A296" s="75">
        <v>6500</v>
      </c>
      <c r="B296" s="46" t="str">
        <f t="shared" si="16"/>
        <v>2</v>
      </c>
      <c r="C296" s="75">
        <v>290</v>
      </c>
      <c r="D296" s="15" t="s">
        <v>113</v>
      </c>
      <c r="E296" s="265">
        <v>0</v>
      </c>
      <c r="F296" s="265">
        <v>0</v>
      </c>
      <c r="G296" s="265">
        <v>0</v>
      </c>
      <c r="H296" s="265">
        <v>0</v>
      </c>
      <c r="I296" s="54">
        <f t="shared" si="15"/>
        <v>0</v>
      </c>
    </row>
    <row r="297" spans="1:9" x14ac:dyDescent="0.25">
      <c r="A297" s="75">
        <v>6500</v>
      </c>
      <c r="B297" s="46" t="str">
        <f t="shared" si="16"/>
        <v>3</v>
      </c>
      <c r="C297" s="75">
        <v>310</v>
      </c>
      <c r="D297" s="15" t="s">
        <v>114</v>
      </c>
      <c r="E297" s="265">
        <v>26500</v>
      </c>
      <c r="F297" s="265">
        <v>0</v>
      </c>
      <c r="G297" s="265">
        <v>0</v>
      </c>
      <c r="H297" s="265">
        <v>0</v>
      </c>
      <c r="I297" s="54">
        <f t="shared" si="15"/>
        <v>26500</v>
      </c>
    </row>
    <row r="298" spans="1:9" x14ac:dyDescent="0.25">
      <c r="A298" s="75">
        <v>6500</v>
      </c>
      <c r="B298" s="46" t="str">
        <f t="shared" si="16"/>
        <v>3</v>
      </c>
      <c r="C298" s="75">
        <v>320</v>
      </c>
      <c r="D298" s="15" t="s">
        <v>115</v>
      </c>
      <c r="E298" s="265">
        <v>0</v>
      </c>
      <c r="F298" s="265">
        <v>0</v>
      </c>
      <c r="G298" s="265">
        <v>0</v>
      </c>
      <c r="H298" s="265">
        <v>0</v>
      </c>
      <c r="I298" s="54">
        <f t="shared" si="15"/>
        <v>0</v>
      </c>
    </row>
    <row r="299" spans="1:9" x14ac:dyDescent="0.25">
      <c r="A299" s="75">
        <v>6500</v>
      </c>
      <c r="B299" s="46" t="str">
        <f t="shared" si="16"/>
        <v>3</v>
      </c>
      <c r="C299" s="75">
        <v>330</v>
      </c>
      <c r="D299" s="15" t="s">
        <v>84</v>
      </c>
      <c r="E299" s="265">
        <v>0</v>
      </c>
      <c r="F299" s="265">
        <v>0</v>
      </c>
      <c r="G299" s="265">
        <v>0</v>
      </c>
      <c r="H299" s="265">
        <v>0</v>
      </c>
      <c r="I299" s="54">
        <f t="shared" si="15"/>
        <v>0</v>
      </c>
    </row>
    <row r="300" spans="1:9" x14ac:dyDescent="0.25">
      <c r="A300" s="75">
        <v>6500</v>
      </c>
      <c r="B300" s="46" t="str">
        <f t="shared" si="16"/>
        <v>3</v>
      </c>
      <c r="C300" s="75">
        <v>350</v>
      </c>
      <c r="D300" s="15" t="s">
        <v>116</v>
      </c>
      <c r="E300" s="265">
        <v>0</v>
      </c>
      <c r="F300" s="265">
        <v>0</v>
      </c>
      <c r="G300" s="265">
        <v>0</v>
      </c>
      <c r="H300" s="265">
        <v>0</v>
      </c>
      <c r="I300" s="54">
        <f t="shared" si="15"/>
        <v>0</v>
      </c>
    </row>
    <row r="301" spans="1:9" x14ac:dyDescent="0.25">
      <c r="A301" s="75">
        <v>6500</v>
      </c>
      <c r="B301" s="46" t="str">
        <f t="shared" si="16"/>
        <v>3</v>
      </c>
      <c r="C301" s="75">
        <v>360</v>
      </c>
      <c r="D301" s="15" t="s">
        <v>92</v>
      </c>
      <c r="E301" s="265">
        <v>0</v>
      </c>
      <c r="F301" s="265">
        <v>0</v>
      </c>
      <c r="G301" s="265">
        <v>0</v>
      </c>
      <c r="H301" s="265">
        <v>0</v>
      </c>
      <c r="I301" s="54">
        <f t="shared" si="15"/>
        <v>0</v>
      </c>
    </row>
    <row r="302" spans="1:9" x14ac:dyDescent="0.25">
      <c r="A302" s="75">
        <v>6500</v>
      </c>
      <c r="B302" s="46" t="str">
        <f t="shared" si="16"/>
        <v>3</v>
      </c>
      <c r="C302" s="75">
        <v>370</v>
      </c>
      <c r="D302" s="15" t="s">
        <v>93</v>
      </c>
      <c r="E302" s="265">
        <v>0</v>
      </c>
      <c r="F302" s="265">
        <v>0</v>
      </c>
      <c r="G302" s="265">
        <v>0</v>
      </c>
      <c r="H302" s="265">
        <v>0</v>
      </c>
      <c r="I302" s="54">
        <f t="shared" si="15"/>
        <v>0</v>
      </c>
    </row>
    <row r="303" spans="1:9" x14ac:dyDescent="0.25">
      <c r="A303" s="75">
        <v>6500</v>
      </c>
      <c r="B303" s="46" t="str">
        <f t="shared" si="16"/>
        <v>3</v>
      </c>
      <c r="C303" s="75">
        <v>380</v>
      </c>
      <c r="D303" s="15" t="s">
        <v>117</v>
      </c>
      <c r="E303" s="265">
        <v>0</v>
      </c>
      <c r="F303" s="265">
        <v>0</v>
      </c>
      <c r="G303" s="265">
        <v>0</v>
      </c>
      <c r="H303" s="265">
        <v>0</v>
      </c>
      <c r="I303" s="54">
        <f t="shared" si="15"/>
        <v>0</v>
      </c>
    </row>
    <row r="304" spans="1:9" x14ac:dyDescent="0.25">
      <c r="A304" s="75">
        <v>6500</v>
      </c>
      <c r="B304" s="46" t="str">
        <f t="shared" si="16"/>
        <v>3</v>
      </c>
      <c r="C304" s="75">
        <v>390</v>
      </c>
      <c r="D304" s="15" t="s">
        <v>118</v>
      </c>
      <c r="E304" s="265">
        <v>0</v>
      </c>
      <c r="F304" s="265">
        <v>0</v>
      </c>
      <c r="G304" s="265">
        <v>0</v>
      </c>
      <c r="H304" s="265">
        <v>0</v>
      </c>
      <c r="I304" s="54">
        <f t="shared" si="15"/>
        <v>0</v>
      </c>
    </row>
    <row r="305" spans="1:9" x14ac:dyDescent="0.25">
      <c r="A305" s="75">
        <v>6500</v>
      </c>
      <c r="B305" s="46" t="str">
        <f t="shared" si="16"/>
        <v>4</v>
      </c>
      <c r="C305" s="75">
        <v>430</v>
      </c>
      <c r="D305" s="15" t="s">
        <v>119</v>
      </c>
      <c r="E305" s="265">
        <v>0</v>
      </c>
      <c r="F305" s="265">
        <v>0</v>
      </c>
      <c r="G305" s="265">
        <v>0</v>
      </c>
      <c r="H305" s="265">
        <v>0</v>
      </c>
      <c r="I305" s="54">
        <f t="shared" si="15"/>
        <v>0</v>
      </c>
    </row>
    <row r="306" spans="1:9" x14ac:dyDescent="0.25">
      <c r="A306" s="75">
        <v>6500</v>
      </c>
      <c r="B306" s="46" t="str">
        <f t="shared" si="16"/>
        <v>5</v>
      </c>
      <c r="C306" s="75">
        <v>510</v>
      </c>
      <c r="D306" s="15" t="s">
        <v>94</v>
      </c>
      <c r="E306" s="265">
        <v>0</v>
      </c>
      <c r="F306" s="265">
        <v>0</v>
      </c>
      <c r="G306" s="265">
        <v>0</v>
      </c>
      <c r="H306" s="265">
        <v>0</v>
      </c>
      <c r="I306" s="54">
        <f t="shared" si="15"/>
        <v>0</v>
      </c>
    </row>
    <row r="307" spans="1:9" x14ac:dyDescent="0.25">
      <c r="A307" s="75">
        <v>6500</v>
      </c>
      <c r="B307" s="46" t="str">
        <f t="shared" si="16"/>
        <v>5</v>
      </c>
      <c r="C307" s="75">
        <v>520</v>
      </c>
      <c r="D307" s="15" t="s">
        <v>95</v>
      </c>
      <c r="E307" s="265">
        <v>0</v>
      </c>
      <c r="F307" s="265">
        <v>0</v>
      </c>
      <c r="G307" s="265">
        <v>0</v>
      </c>
      <c r="H307" s="265">
        <v>0</v>
      </c>
      <c r="I307" s="54">
        <f t="shared" si="15"/>
        <v>0</v>
      </c>
    </row>
    <row r="308" spans="1:9" x14ac:dyDescent="0.25">
      <c r="A308" s="75">
        <v>6500</v>
      </c>
      <c r="B308" s="46" t="str">
        <f t="shared" si="16"/>
        <v>5</v>
      </c>
      <c r="C308" s="75">
        <v>530</v>
      </c>
      <c r="D308" s="15" t="s">
        <v>120</v>
      </c>
      <c r="E308" s="265">
        <v>0</v>
      </c>
      <c r="F308" s="265">
        <v>0</v>
      </c>
      <c r="G308" s="265">
        <v>0</v>
      </c>
      <c r="H308" s="265">
        <v>0</v>
      </c>
      <c r="I308" s="54">
        <f t="shared" si="15"/>
        <v>0</v>
      </c>
    </row>
    <row r="309" spans="1:9" x14ac:dyDescent="0.25">
      <c r="A309" s="75">
        <v>6500</v>
      </c>
      <c r="B309" s="46" t="str">
        <f t="shared" si="16"/>
        <v>5</v>
      </c>
      <c r="C309" s="75">
        <v>570</v>
      </c>
      <c r="D309" s="15" t="s">
        <v>85</v>
      </c>
      <c r="E309" s="265">
        <v>0</v>
      </c>
      <c r="F309" s="265">
        <v>0</v>
      </c>
      <c r="G309" s="265">
        <v>0</v>
      </c>
      <c r="H309" s="265">
        <v>0</v>
      </c>
      <c r="I309" s="54">
        <f t="shared" si="15"/>
        <v>0</v>
      </c>
    </row>
    <row r="310" spans="1:9" x14ac:dyDescent="0.25">
      <c r="A310" s="75">
        <v>6500</v>
      </c>
      <c r="B310" s="46" t="str">
        <f t="shared" si="16"/>
        <v>5</v>
      </c>
      <c r="C310" s="75">
        <v>590</v>
      </c>
      <c r="D310" s="15" t="s">
        <v>121</v>
      </c>
      <c r="E310" s="265">
        <v>0</v>
      </c>
      <c r="F310" s="265">
        <v>0</v>
      </c>
      <c r="G310" s="265">
        <v>0</v>
      </c>
      <c r="H310" s="265">
        <v>0</v>
      </c>
      <c r="I310" s="54">
        <f t="shared" si="15"/>
        <v>0</v>
      </c>
    </row>
    <row r="311" spans="1:9" x14ac:dyDescent="0.25">
      <c r="A311" s="75">
        <v>6500</v>
      </c>
      <c r="B311" s="46" t="str">
        <f t="shared" si="16"/>
        <v>6</v>
      </c>
      <c r="C311" s="75">
        <v>610</v>
      </c>
      <c r="D311" s="15" t="s">
        <v>122</v>
      </c>
      <c r="E311" s="265">
        <v>0</v>
      </c>
      <c r="F311" s="265">
        <v>0</v>
      </c>
      <c r="G311" s="265">
        <v>0</v>
      </c>
      <c r="H311" s="265">
        <v>0</v>
      </c>
      <c r="I311" s="54">
        <f t="shared" si="15"/>
        <v>0</v>
      </c>
    </row>
    <row r="312" spans="1:9" x14ac:dyDescent="0.25">
      <c r="A312" s="75">
        <v>6500</v>
      </c>
      <c r="B312" s="46" t="str">
        <f t="shared" si="16"/>
        <v>6</v>
      </c>
      <c r="C312" s="75">
        <v>621</v>
      </c>
      <c r="D312" s="15" t="s">
        <v>123</v>
      </c>
      <c r="E312" s="265">
        <v>0</v>
      </c>
      <c r="F312" s="265">
        <v>0</v>
      </c>
      <c r="G312" s="265">
        <v>0</v>
      </c>
      <c r="H312" s="265">
        <v>0</v>
      </c>
      <c r="I312" s="54">
        <f t="shared" si="15"/>
        <v>0</v>
      </c>
    </row>
    <row r="313" spans="1:9" x14ac:dyDescent="0.25">
      <c r="A313" s="75">
        <v>6500</v>
      </c>
      <c r="B313" s="46" t="str">
        <f t="shared" si="16"/>
        <v>6</v>
      </c>
      <c r="C313" s="75">
        <v>622</v>
      </c>
      <c r="D313" s="15" t="s">
        <v>124</v>
      </c>
      <c r="E313" s="265">
        <v>0</v>
      </c>
      <c r="F313" s="265">
        <v>0</v>
      </c>
      <c r="G313" s="265">
        <v>0</v>
      </c>
      <c r="H313" s="265">
        <v>0</v>
      </c>
      <c r="I313" s="54">
        <f t="shared" si="15"/>
        <v>0</v>
      </c>
    </row>
    <row r="314" spans="1:9" x14ac:dyDescent="0.25">
      <c r="A314" s="75">
        <v>6500</v>
      </c>
      <c r="B314" s="46" t="str">
        <f t="shared" si="16"/>
        <v>6</v>
      </c>
      <c r="C314" s="75">
        <v>630</v>
      </c>
      <c r="D314" s="15" t="s">
        <v>125</v>
      </c>
      <c r="E314" s="265">
        <v>0</v>
      </c>
      <c r="F314" s="265">
        <v>0</v>
      </c>
      <c r="G314" s="265">
        <v>0</v>
      </c>
      <c r="H314" s="265">
        <v>0</v>
      </c>
      <c r="I314" s="54">
        <f t="shared" si="15"/>
        <v>0</v>
      </c>
    </row>
    <row r="315" spans="1:9" x14ac:dyDescent="0.25">
      <c r="A315" s="75">
        <v>6500</v>
      </c>
      <c r="B315" s="46" t="str">
        <f t="shared" si="16"/>
        <v>6</v>
      </c>
      <c r="C315" s="75">
        <v>641</v>
      </c>
      <c r="D315" s="15" t="s">
        <v>126</v>
      </c>
      <c r="E315" s="265">
        <v>0</v>
      </c>
      <c r="F315" s="265">
        <v>0</v>
      </c>
      <c r="G315" s="265">
        <v>0</v>
      </c>
      <c r="H315" s="265">
        <v>0</v>
      </c>
      <c r="I315" s="54">
        <f t="shared" si="15"/>
        <v>0</v>
      </c>
    </row>
    <row r="316" spans="1:9" x14ac:dyDescent="0.25">
      <c r="A316" s="75">
        <v>6500</v>
      </c>
      <c r="B316" s="46" t="str">
        <f t="shared" si="16"/>
        <v>6</v>
      </c>
      <c r="C316" s="75">
        <v>642</v>
      </c>
      <c r="D316" s="15" t="s">
        <v>127</v>
      </c>
      <c r="E316" s="265">
        <v>0</v>
      </c>
      <c r="F316" s="265">
        <v>0</v>
      </c>
      <c r="G316" s="265">
        <v>0</v>
      </c>
      <c r="H316" s="265">
        <v>0</v>
      </c>
      <c r="I316" s="54">
        <f t="shared" si="15"/>
        <v>0</v>
      </c>
    </row>
    <row r="317" spans="1:9" x14ac:dyDescent="0.25">
      <c r="A317" s="75">
        <v>6500</v>
      </c>
      <c r="B317" s="46" t="str">
        <f t="shared" si="16"/>
        <v>6</v>
      </c>
      <c r="C317" s="75">
        <v>643</v>
      </c>
      <c r="D317" s="15" t="s">
        <v>128</v>
      </c>
      <c r="E317" s="265">
        <v>0</v>
      </c>
      <c r="F317" s="265">
        <v>0</v>
      </c>
      <c r="G317" s="265">
        <v>0</v>
      </c>
      <c r="H317" s="265">
        <v>0</v>
      </c>
      <c r="I317" s="54">
        <f t="shared" si="15"/>
        <v>0</v>
      </c>
    </row>
    <row r="318" spans="1:9" x14ac:dyDescent="0.25">
      <c r="A318" s="75">
        <v>6500</v>
      </c>
      <c r="B318" s="46" t="str">
        <f t="shared" si="16"/>
        <v>6</v>
      </c>
      <c r="C318" s="75">
        <v>644</v>
      </c>
      <c r="D318" s="15" t="s">
        <v>129</v>
      </c>
      <c r="E318" s="265">
        <v>0</v>
      </c>
      <c r="F318" s="265">
        <v>0</v>
      </c>
      <c r="G318" s="265">
        <v>0</v>
      </c>
      <c r="H318" s="265">
        <v>0</v>
      </c>
      <c r="I318" s="54">
        <f t="shared" si="15"/>
        <v>0</v>
      </c>
    </row>
    <row r="319" spans="1:9" x14ac:dyDescent="0.25">
      <c r="A319" s="75">
        <v>6500</v>
      </c>
      <c r="B319" s="46" t="str">
        <f t="shared" si="16"/>
        <v>6</v>
      </c>
      <c r="C319" s="75">
        <v>680</v>
      </c>
      <c r="D319" s="15" t="s">
        <v>130</v>
      </c>
      <c r="E319" s="265">
        <v>0</v>
      </c>
      <c r="F319" s="265">
        <v>0</v>
      </c>
      <c r="G319" s="265">
        <v>0</v>
      </c>
      <c r="H319" s="265">
        <v>0</v>
      </c>
      <c r="I319" s="54">
        <f t="shared" si="15"/>
        <v>0</v>
      </c>
    </row>
    <row r="320" spans="1:9" x14ac:dyDescent="0.25">
      <c r="A320" s="75">
        <v>6500</v>
      </c>
      <c r="B320" s="46" t="str">
        <f t="shared" si="16"/>
        <v>6</v>
      </c>
      <c r="C320" s="75">
        <v>690</v>
      </c>
      <c r="D320" s="15" t="s">
        <v>131</v>
      </c>
      <c r="E320" s="265">
        <v>0</v>
      </c>
      <c r="F320" s="265">
        <v>0</v>
      </c>
      <c r="G320" s="265">
        <v>0</v>
      </c>
      <c r="H320" s="265">
        <v>0</v>
      </c>
      <c r="I320" s="54">
        <f t="shared" si="15"/>
        <v>0</v>
      </c>
    </row>
    <row r="321" spans="1:9" x14ac:dyDescent="0.25">
      <c r="A321" s="75">
        <v>6500</v>
      </c>
      <c r="B321" s="46" t="str">
        <f t="shared" si="16"/>
        <v>7</v>
      </c>
      <c r="C321" s="75">
        <v>720</v>
      </c>
      <c r="D321" s="15" t="s">
        <v>132</v>
      </c>
      <c r="E321" s="265">
        <v>0</v>
      </c>
      <c r="F321" s="265">
        <v>0</v>
      </c>
      <c r="G321" s="265">
        <v>0</v>
      </c>
      <c r="H321" s="265">
        <v>0</v>
      </c>
      <c r="I321" s="54">
        <f t="shared" si="15"/>
        <v>0</v>
      </c>
    </row>
    <row r="322" spans="1:9" x14ac:dyDescent="0.25">
      <c r="A322" s="75">
        <v>6500</v>
      </c>
      <c r="B322" s="46" t="str">
        <f t="shared" si="16"/>
        <v>7</v>
      </c>
      <c r="C322" s="75">
        <v>730</v>
      </c>
      <c r="D322" s="15" t="s">
        <v>133</v>
      </c>
      <c r="E322" s="265">
        <v>0</v>
      </c>
      <c r="F322" s="265">
        <v>0</v>
      </c>
      <c r="G322" s="265">
        <v>0</v>
      </c>
      <c r="H322" s="265">
        <v>0</v>
      </c>
      <c r="I322" s="54">
        <f t="shared" si="15"/>
        <v>0</v>
      </c>
    </row>
    <row r="323" spans="1:9" x14ac:dyDescent="0.25">
      <c r="A323" s="75">
        <v>6500</v>
      </c>
      <c r="B323" s="46" t="str">
        <f t="shared" si="16"/>
        <v>7</v>
      </c>
      <c r="C323" s="75">
        <v>750</v>
      </c>
      <c r="D323" s="15" t="s">
        <v>134</v>
      </c>
      <c r="E323" s="265">
        <v>0</v>
      </c>
      <c r="F323" s="265">
        <v>0</v>
      </c>
      <c r="G323" s="265">
        <v>0</v>
      </c>
      <c r="H323" s="265">
        <v>0</v>
      </c>
      <c r="I323" s="54">
        <f t="shared" si="15"/>
        <v>0</v>
      </c>
    </row>
    <row r="324" spans="1:9" x14ac:dyDescent="0.25">
      <c r="A324" s="75">
        <v>6500</v>
      </c>
      <c r="B324" s="46" t="str">
        <f t="shared" si="16"/>
        <v>7</v>
      </c>
      <c r="C324" s="75">
        <v>790</v>
      </c>
      <c r="D324" s="15" t="s">
        <v>135</v>
      </c>
      <c r="E324" s="265">
        <v>0</v>
      </c>
      <c r="F324" s="265">
        <v>0</v>
      </c>
      <c r="G324" s="265">
        <v>0</v>
      </c>
      <c r="H324" s="265">
        <v>0</v>
      </c>
      <c r="I324" s="54">
        <f t="shared" si="15"/>
        <v>0</v>
      </c>
    </row>
    <row r="325" spans="1:9" ht="15.5" x14ac:dyDescent="0.35">
      <c r="B325" s="46">
        <v>6000</v>
      </c>
      <c r="D325" s="76" t="s">
        <v>164</v>
      </c>
      <c r="E325" s="77">
        <f>SUM(E285:E324)</f>
        <v>26500</v>
      </c>
      <c r="F325" s="77">
        <f>SUM(F285:F324)</f>
        <v>0</v>
      </c>
      <c r="G325" s="77">
        <f>SUM(G285:G324)</f>
        <v>0</v>
      </c>
      <c r="H325" s="77">
        <f>SUM(H285:H324)</f>
        <v>0</v>
      </c>
      <c r="I325" s="77">
        <f>SUM(I285:I324)</f>
        <v>26500</v>
      </c>
    </row>
    <row r="326" spans="1:9" ht="18.5" x14ac:dyDescent="0.45">
      <c r="A326" s="48" t="s">
        <v>157</v>
      </c>
      <c r="B326" s="49"/>
      <c r="C326" s="50"/>
      <c r="D326" s="50"/>
      <c r="E326" s="74"/>
      <c r="F326" s="74"/>
      <c r="G326" s="74"/>
      <c r="H326" s="74"/>
      <c r="I326" s="74"/>
    </row>
    <row r="327" spans="1:9" ht="12.65" customHeight="1" x14ac:dyDescent="0.25">
      <c r="A327" s="75">
        <v>7100</v>
      </c>
      <c r="B327" s="46" t="str">
        <f>LEFT(C327,1)</f>
        <v>1</v>
      </c>
      <c r="C327" s="75">
        <v>110</v>
      </c>
      <c r="D327" s="15" t="s">
        <v>102</v>
      </c>
      <c r="E327" s="265">
        <v>0</v>
      </c>
      <c r="F327" s="265">
        <v>0</v>
      </c>
      <c r="G327" s="265">
        <v>0</v>
      </c>
      <c r="H327" s="265">
        <v>0</v>
      </c>
      <c r="I327" s="54">
        <f t="shared" ref="I327:I366" si="17">SUM(E327:H327)</f>
        <v>0</v>
      </c>
    </row>
    <row r="328" spans="1:9" ht="12.65" customHeight="1" x14ac:dyDescent="0.25">
      <c r="A328" s="75">
        <v>7100</v>
      </c>
      <c r="B328" s="46" t="str">
        <f t="shared" ref="B328:B366" si="18">LEFT(C328,1)</f>
        <v>1</v>
      </c>
      <c r="C328" s="75">
        <v>120</v>
      </c>
      <c r="D328" s="15" t="s">
        <v>103</v>
      </c>
      <c r="E328" s="265">
        <v>0</v>
      </c>
      <c r="F328" s="265">
        <v>0</v>
      </c>
      <c r="G328" s="265">
        <v>0</v>
      </c>
      <c r="H328" s="265">
        <v>0</v>
      </c>
      <c r="I328" s="54">
        <f t="shared" si="17"/>
        <v>0</v>
      </c>
    </row>
    <row r="329" spans="1:9" ht="12.65" customHeight="1" x14ac:dyDescent="0.25">
      <c r="A329" s="75">
        <v>7100</v>
      </c>
      <c r="B329" s="46" t="str">
        <f t="shared" si="18"/>
        <v>1</v>
      </c>
      <c r="C329" s="75">
        <v>130</v>
      </c>
      <c r="D329" s="15" t="s">
        <v>104</v>
      </c>
      <c r="E329" s="265">
        <v>0</v>
      </c>
      <c r="F329" s="265">
        <v>0</v>
      </c>
      <c r="G329" s="265">
        <v>0</v>
      </c>
      <c r="H329" s="265">
        <v>0</v>
      </c>
      <c r="I329" s="54">
        <f t="shared" si="17"/>
        <v>0</v>
      </c>
    </row>
    <row r="330" spans="1:9" ht="12.65" customHeight="1" x14ac:dyDescent="0.25">
      <c r="A330" s="75">
        <v>7100</v>
      </c>
      <c r="B330" s="46" t="str">
        <f t="shared" si="18"/>
        <v>1</v>
      </c>
      <c r="C330" s="75">
        <v>140</v>
      </c>
      <c r="D330" s="15" t="s">
        <v>105</v>
      </c>
      <c r="E330" s="265">
        <v>0</v>
      </c>
      <c r="F330" s="265">
        <v>0</v>
      </c>
      <c r="G330" s="265">
        <v>0</v>
      </c>
      <c r="H330" s="265">
        <v>0</v>
      </c>
      <c r="I330" s="54">
        <f t="shared" si="17"/>
        <v>0</v>
      </c>
    </row>
    <row r="331" spans="1:9" ht="12.65" customHeight="1" x14ac:dyDescent="0.25">
      <c r="A331" s="75">
        <v>7100</v>
      </c>
      <c r="B331" s="46" t="str">
        <f t="shared" si="18"/>
        <v>1</v>
      </c>
      <c r="C331" s="75">
        <v>150</v>
      </c>
      <c r="D331" s="15" t="s">
        <v>106</v>
      </c>
      <c r="E331" s="265">
        <v>0</v>
      </c>
      <c r="F331" s="265">
        <v>0</v>
      </c>
      <c r="G331" s="265">
        <v>0</v>
      </c>
      <c r="H331" s="265">
        <v>0</v>
      </c>
      <c r="I331" s="54">
        <f t="shared" si="17"/>
        <v>0</v>
      </c>
    </row>
    <row r="332" spans="1:9" ht="12.65" customHeight="1" x14ac:dyDescent="0.25">
      <c r="A332" s="75">
        <v>7100</v>
      </c>
      <c r="B332" s="46" t="str">
        <f t="shared" si="18"/>
        <v>1</v>
      </c>
      <c r="C332" s="75">
        <v>160</v>
      </c>
      <c r="D332" s="15" t="s">
        <v>107</v>
      </c>
      <c r="E332" s="265">
        <v>0</v>
      </c>
      <c r="F332" s="265">
        <v>0</v>
      </c>
      <c r="G332" s="265">
        <v>0</v>
      </c>
      <c r="H332" s="265">
        <v>0</v>
      </c>
      <c r="I332" s="54">
        <f t="shared" si="17"/>
        <v>0</v>
      </c>
    </row>
    <row r="333" spans="1:9" ht="12.65" customHeight="1" x14ac:dyDescent="0.25">
      <c r="A333" s="75">
        <v>7100</v>
      </c>
      <c r="B333" s="46" t="str">
        <f t="shared" si="18"/>
        <v>2</v>
      </c>
      <c r="C333" s="75">
        <v>210</v>
      </c>
      <c r="D333" s="15" t="s">
        <v>108</v>
      </c>
      <c r="E333" s="265">
        <v>0</v>
      </c>
      <c r="F333" s="265">
        <v>0</v>
      </c>
      <c r="G333" s="265">
        <v>0</v>
      </c>
      <c r="H333" s="265">
        <v>0</v>
      </c>
      <c r="I333" s="54">
        <f t="shared" si="17"/>
        <v>0</v>
      </c>
    </row>
    <row r="334" spans="1:9" ht="12.65" customHeight="1" x14ac:dyDescent="0.25">
      <c r="A334" s="75">
        <v>7100</v>
      </c>
      <c r="B334" s="46" t="str">
        <f t="shared" si="18"/>
        <v>2</v>
      </c>
      <c r="C334" s="75">
        <v>220</v>
      </c>
      <c r="D334" s="15" t="s">
        <v>109</v>
      </c>
      <c r="E334" s="265">
        <v>0</v>
      </c>
      <c r="F334" s="265">
        <v>0</v>
      </c>
      <c r="G334" s="265">
        <v>0</v>
      </c>
      <c r="H334" s="265">
        <v>0</v>
      </c>
      <c r="I334" s="54">
        <f t="shared" si="17"/>
        <v>0</v>
      </c>
    </row>
    <row r="335" spans="1:9" ht="12.65" customHeight="1" x14ac:dyDescent="0.25">
      <c r="A335" s="75">
        <v>7100</v>
      </c>
      <c r="B335" s="46" t="str">
        <f t="shared" si="18"/>
        <v>2</v>
      </c>
      <c r="C335" s="75">
        <v>230</v>
      </c>
      <c r="D335" s="15" t="s">
        <v>110</v>
      </c>
      <c r="E335" s="265">
        <v>0</v>
      </c>
      <c r="F335" s="265">
        <v>0</v>
      </c>
      <c r="G335" s="265">
        <v>0</v>
      </c>
      <c r="H335" s="265">
        <v>0</v>
      </c>
      <c r="I335" s="54">
        <f t="shared" si="17"/>
        <v>0</v>
      </c>
    </row>
    <row r="336" spans="1:9" ht="12.65" customHeight="1" x14ac:dyDescent="0.25">
      <c r="A336" s="75">
        <v>7100</v>
      </c>
      <c r="B336" s="46" t="str">
        <f t="shared" si="18"/>
        <v>2</v>
      </c>
      <c r="C336" s="75">
        <v>240</v>
      </c>
      <c r="D336" s="15" t="s">
        <v>111</v>
      </c>
      <c r="E336" s="265">
        <v>0</v>
      </c>
      <c r="F336" s="265">
        <v>0</v>
      </c>
      <c r="G336" s="265">
        <v>0</v>
      </c>
      <c r="H336" s="265">
        <v>0</v>
      </c>
      <c r="I336" s="54">
        <f t="shared" si="17"/>
        <v>0</v>
      </c>
    </row>
    <row r="337" spans="1:9" ht="12.65" customHeight="1" x14ac:dyDescent="0.25">
      <c r="A337" s="75">
        <v>7100</v>
      </c>
      <c r="B337" s="46" t="str">
        <f t="shared" si="18"/>
        <v>2</v>
      </c>
      <c r="C337" s="75">
        <v>250</v>
      </c>
      <c r="D337" s="15" t="s">
        <v>112</v>
      </c>
      <c r="E337" s="265">
        <v>0</v>
      </c>
      <c r="F337" s="265">
        <v>0</v>
      </c>
      <c r="G337" s="265">
        <v>0</v>
      </c>
      <c r="H337" s="265">
        <v>0</v>
      </c>
      <c r="I337" s="54">
        <f t="shared" si="17"/>
        <v>0</v>
      </c>
    </row>
    <row r="338" spans="1:9" ht="12.65" customHeight="1" x14ac:dyDescent="0.25">
      <c r="A338" s="75">
        <v>7100</v>
      </c>
      <c r="B338" s="46" t="str">
        <f t="shared" si="18"/>
        <v>2</v>
      </c>
      <c r="C338" s="75">
        <v>290</v>
      </c>
      <c r="D338" s="15" t="s">
        <v>113</v>
      </c>
      <c r="E338" s="265">
        <v>0</v>
      </c>
      <c r="F338" s="265">
        <v>0</v>
      </c>
      <c r="G338" s="265">
        <v>0</v>
      </c>
      <c r="H338" s="265">
        <v>0</v>
      </c>
      <c r="I338" s="54">
        <f t="shared" si="17"/>
        <v>0</v>
      </c>
    </row>
    <row r="339" spans="1:9" x14ac:dyDescent="0.25">
      <c r="A339" s="75">
        <v>7100</v>
      </c>
      <c r="B339" s="46" t="str">
        <f t="shared" si="18"/>
        <v>3</v>
      </c>
      <c r="C339" s="75">
        <v>310</v>
      </c>
      <c r="D339" s="15" t="s">
        <v>114</v>
      </c>
      <c r="E339" s="265">
        <v>4500</v>
      </c>
      <c r="F339" s="265">
        <v>0</v>
      </c>
      <c r="G339" s="265">
        <v>0</v>
      </c>
      <c r="H339" s="265">
        <v>0</v>
      </c>
      <c r="I339" s="54">
        <f t="shared" si="17"/>
        <v>4500</v>
      </c>
    </row>
    <row r="340" spans="1:9" x14ac:dyDescent="0.25">
      <c r="A340" s="75">
        <v>7100</v>
      </c>
      <c r="B340" s="46" t="str">
        <f t="shared" si="18"/>
        <v>3</v>
      </c>
      <c r="C340" s="75">
        <v>320</v>
      </c>
      <c r="D340" s="15" t="s">
        <v>115</v>
      </c>
      <c r="E340" s="265">
        <v>1000</v>
      </c>
      <c r="F340" s="265">
        <v>0</v>
      </c>
      <c r="G340" s="265">
        <v>0</v>
      </c>
      <c r="H340" s="265">
        <v>0</v>
      </c>
      <c r="I340" s="54">
        <f t="shared" si="17"/>
        <v>1000</v>
      </c>
    </row>
    <row r="341" spans="1:9" x14ac:dyDescent="0.25">
      <c r="A341" s="75">
        <v>7100</v>
      </c>
      <c r="B341" s="46" t="str">
        <f t="shared" si="18"/>
        <v>3</v>
      </c>
      <c r="C341" s="75">
        <v>330</v>
      </c>
      <c r="D341" s="15" t="s">
        <v>84</v>
      </c>
      <c r="E341" s="265">
        <v>2500</v>
      </c>
      <c r="F341" s="265">
        <v>0</v>
      </c>
      <c r="G341" s="265">
        <v>0</v>
      </c>
      <c r="H341" s="265">
        <v>0</v>
      </c>
      <c r="I341" s="54">
        <f t="shared" si="17"/>
        <v>2500</v>
      </c>
    </row>
    <row r="342" spans="1:9" x14ac:dyDescent="0.25">
      <c r="A342" s="75">
        <v>7100</v>
      </c>
      <c r="B342" s="46" t="str">
        <f t="shared" si="18"/>
        <v>3</v>
      </c>
      <c r="C342" s="75">
        <v>350</v>
      </c>
      <c r="D342" s="15" t="s">
        <v>116</v>
      </c>
      <c r="E342" s="265">
        <v>0</v>
      </c>
      <c r="F342" s="265">
        <v>0</v>
      </c>
      <c r="G342" s="265">
        <v>0</v>
      </c>
      <c r="H342" s="265">
        <v>0</v>
      </c>
      <c r="I342" s="54">
        <f t="shared" si="17"/>
        <v>0</v>
      </c>
    </row>
    <row r="343" spans="1:9" x14ac:dyDescent="0.25">
      <c r="A343" s="75">
        <v>7100</v>
      </c>
      <c r="B343" s="46" t="str">
        <f t="shared" si="18"/>
        <v>3</v>
      </c>
      <c r="C343" s="75">
        <v>360</v>
      </c>
      <c r="D343" s="15" t="s">
        <v>92</v>
      </c>
      <c r="E343" s="265">
        <v>0</v>
      </c>
      <c r="F343" s="265">
        <v>0</v>
      </c>
      <c r="G343" s="265">
        <v>0</v>
      </c>
      <c r="H343" s="265">
        <v>0</v>
      </c>
      <c r="I343" s="54">
        <f t="shared" si="17"/>
        <v>0</v>
      </c>
    </row>
    <row r="344" spans="1:9" x14ac:dyDescent="0.25">
      <c r="A344" s="75">
        <v>7100</v>
      </c>
      <c r="B344" s="46" t="str">
        <f t="shared" si="18"/>
        <v>3</v>
      </c>
      <c r="C344" s="75">
        <v>370</v>
      </c>
      <c r="D344" s="15" t="s">
        <v>93</v>
      </c>
      <c r="E344" s="265">
        <v>0</v>
      </c>
      <c r="F344" s="265">
        <v>0</v>
      </c>
      <c r="G344" s="265">
        <v>0</v>
      </c>
      <c r="H344" s="265">
        <v>0</v>
      </c>
      <c r="I344" s="54">
        <f t="shared" si="17"/>
        <v>0</v>
      </c>
    </row>
    <row r="345" spans="1:9" x14ac:dyDescent="0.25">
      <c r="A345" s="75">
        <v>7100</v>
      </c>
      <c r="B345" s="46" t="str">
        <f t="shared" si="18"/>
        <v>3</v>
      </c>
      <c r="C345" s="75">
        <v>380</v>
      </c>
      <c r="D345" s="15" t="s">
        <v>117</v>
      </c>
      <c r="E345" s="265">
        <v>0</v>
      </c>
      <c r="F345" s="265">
        <v>0</v>
      </c>
      <c r="G345" s="265">
        <v>0</v>
      </c>
      <c r="H345" s="265">
        <v>0</v>
      </c>
      <c r="I345" s="54">
        <f t="shared" si="17"/>
        <v>0</v>
      </c>
    </row>
    <row r="346" spans="1:9" x14ac:dyDescent="0.25">
      <c r="A346" s="75">
        <v>7100</v>
      </c>
      <c r="B346" s="46" t="str">
        <f t="shared" si="18"/>
        <v>3</v>
      </c>
      <c r="C346" s="75">
        <v>390</v>
      </c>
      <c r="D346" s="15" t="s">
        <v>118</v>
      </c>
      <c r="E346" s="265">
        <v>0</v>
      </c>
      <c r="F346" s="265">
        <v>0</v>
      </c>
      <c r="G346" s="265">
        <v>0</v>
      </c>
      <c r="H346" s="265">
        <v>0</v>
      </c>
      <c r="I346" s="54">
        <f t="shared" si="17"/>
        <v>0</v>
      </c>
    </row>
    <row r="347" spans="1:9" x14ac:dyDescent="0.25">
      <c r="A347" s="75">
        <v>7100</v>
      </c>
      <c r="B347" s="46" t="str">
        <f t="shared" si="18"/>
        <v>4</v>
      </c>
      <c r="C347" s="75">
        <v>430</v>
      </c>
      <c r="D347" s="15" t="s">
        <v>119</v>
      </c>
      <c r="E347" s="265">
        <v>0</v>
      </c>
      <c r="F347" s="265">
        <v>0</v>
      </c>
      <c r="G347" s="265">
        <v>0</v>
      </c>
      <c r="H347" s="265">
        <v>0</v>
      </c>
      <c r="I347" s="54">
        <f t="shared" si="17"/>
        <v>0</v>
      </c>
    </row>
    <row r="348" spans="1:9" x14ac:dyDescent="0.25">
      <c r="A348" s="75">
        <v>7100</v>
      </c>
      <c r="B348" s="46" t="str">
        <f t="shared" si="18"/>
        <v>5</v>
      </c>
      <c r="C348" s="75">
        <v>510</v>
      </c>
      <c r="D348" s="15" t="s">
        <v>94</v>
      </c>
      <c r="E348" s="265">
        <v>300</v>
      </c>
      <c r="F348" s="265">
        <v>0</v>
      </c>
      <c r="G348" s="265">
        <v>0</v>
      </c>
      <c r="H348" s="265">
        <v>0</v>
      </c>
      <c r="I348" s="54">
        <f t="shared" si="17"/>
        <v>300</v>
      </c>
    </row>
    <row r="349" spans="1:9" x14ac:dyDescent="0.25">
      <c r="A349" s="75">
        <v>7100</v>
      </c>
      <c r="B349" s="46" t="str">
        <f t="shared" si="18"/>
        <v>5</v>
      </c>
      <c r="C349" s="75">
        <v>520</v>
      </c>
      <c r="D349" s="15" t="s">
        <v>95</v>
      </c>
      <c r="E349" s="265">
        <v>0</v>
      </c>
      <c r="F349" s="265">
        <v>0</v>
      </c>
      <c r="G349" s="265">
        <v>0</v>
      </c>
      <c r="H349" s="265">
        <v>0</v>
      </c>
      <c r="I349" s="54">
        <f t="shared" si="17"/>
        <v>0</v>
      </c>
    </row>
    <row r="350" spans="1:9" x14ac:dyDescent="0.25">
      <c r="A350" s="75">
        <v>7100</v>
      </c>
      <c r="B350" s="46" t="str">
        <f t="shared" si="18"/>
        <v>5</v>
      </c>
      <c r="C350" s="75">
        <v>530</v>
      </c>
      <c r="D350" s="15" t="s">
        <v>120</v>
      </c>
      <c r="E350" s="265">
        <v>0</v>
      </c>
      <c r="F350" s="265">
        <v>0</v>
      </c>
      <c r="G350" s="265">
        <v>0</v>
      </c>
      <c r="H350" s="265">
        <v>0</v>
      </c>
      <c r="I350" s="54">
        <f t="shared" si="17"/>
        <v>0</v>
      </c>
    </row>
    <row r="351" spans="1:9" x14ac:dyDescent="0.25">
      <c r="A351" s="75">
        <v>7100</v>
      </c>
      <c r="B351" s="46" t="str">
        <f t="shared" si="18"/>
        <v>5</v>
      </c>
      <c r="C351" s="75">
        <v>570</v>
      </c>
      <c r="D351" s="15" t="s">
        <v>85</v>
      </c>
      <c r="E351" s="265">
        <v>0</v>
      </c>
      <c r="F351" s="265">
        <v>0</v>
      </c>
      <c r="G351" s="265">
        <v>0</v>
      </c>
      <c r="H351" s="265">
        <v>0</v>
      </c>
      <c r="I351" s="54">
        <f t="shared" si="17"/>
        <v>0</v>
      </c>
    </row>
    <row r="352" spans="1:9" x14ac:dyDescent="0.25">
      <c r="A352" s="75">
        <v>7100</v>
      </c>
      <c r="B352" s="46" t="str">
        <f t="shared" si="18"/>
        <v>5</v>
      </c>
      <c r="C352" s="75">
        <v>590</v>
      </c>
      <c r="D352" s="15" t="s">
        <v>121</v>
      </c>
      <c r="E352" s="265">
        <v>0</v>
      </c>
      <c r="F352" s="265">
        <v>0</v>
      </c>
      <c r="G352" s="265">
        <v>0</v>
      </c>
      <c r="H352" s="265">
        <v>0</v>
      </c>
      <c r="I352" s="54">
        <f t="shared" si="17"/>
        <v>0</v>
      </c>
    </row>
    <row r="353" spans="1:9" x14ac:dyDescent="0.25">
      <c r="A353" s="75">
        <v>7100</v>
      </c>
      <c r="B353" s="46" t="str">
        <f t="shared" si="18"/>
        <v>6</v>
      </c>
      <c r="C353" s="75">
        <v>610</v>
      </c>
      <c r="D353" s="15" t="s">
        <v>122</v>
      </c>
      <c r="E353" s="265">
        <v>0</v>
      </c>
      <c r="F353" s="265">
        <v>0</v>
      </c>
      <c r="G353" s="265">
        <v>0</v>
      </c>
      <c r="H353" s="265">
        <v>0</v>
      </c>
      <c r="I353" s="54">
        <f t="shared" si="17"/>
        <v>0</v>
      </c>
    </row>
    <row r="354" spans="1:9" x14ac:dyDescent="0.25">
      <c r="A354" s="75">
        <v>7100</v>
      </c>
      <c r="B354" s="46" t="str">
        <f t="shared" si="18"/>
        <v>6</v>
      </c>
      <c r="C354" s="75">
        <v>621</v>
      </c>
      <c r="D354" s="15" t="s">
        <v>123</v>
      </c>
      <c r="E354" s="265">
        <v>0</v>
      </c>
      <c r="F354" s="265">
        <v>0</v>
      </c>
      <c r="G354" s="265">
        <v>0</v>
      </c>
      <c r="H354" s="265">
        <v>0</v>
      </c>
      <c r="I354" s="54">
        <f t="shared" si="17"/>
        <v>0</v>
      </c>
    </row>
    <row r="355" spans="1:9" x14ac:dyDescent="0.25">
      <c r="A355" s="75">
        <v>7100</v>
      </c>
      <c r="B355" s="46" t="str">
        <f t="shared" si="18"/>
        <v>6</v>
      </c>
      <c r="C355" s="75">
        <v>622</v>
      </c>
      <c r="D355" s="15" t="s">
        <v>124</v>
      </c>
      <c r="E355" s="265">
        <v>0</v>
      </c>
      <c r="F355" s="265">
        <v>0</v>
      </c>
      <c r="G355" s="265">
        <v>0</v>
      </c>
      <c r="H355" s="265">
        <v>0</v>
      </c>
      <c r="I355" s="54">
        <f t="shared" si="17"/>
        <v>0</v>
      </c>
    </row>
    <row r="356" spans="1:9" x14ac:dyDescent="0.25">
      <c r="A356" s="75">
        <v>7100</v>
      </c>
      <c r="B356" s="46" t="str">
        <f t="shared" si="18"/>
        <v>6</v>
      </c>
      <c r="C356" s="75">
        <v>630</v>
      </c>
      <c r="D356" s="15" t="s">
        <v>125</v>
      </c>
      <c r="E356" s="265">
        <v>0</v>
      </c>
      <c r="F356" s="265">
        <v>0</v>
      </c>
      <c r="G356" s="265">
        <v>0</v>
      </c>
      <c r="H356" s="265">
        <v>0</v>
      </c>
      <c r="I356" s="54">
        <f t="shared" si="17"/>
        <v>0</v>
      </c>
    </row>
    <row r="357" spans="1:9" x14ac:dyDescent="0.25">
      <c r="A357" s="75">
        <v>7100</v>
      </c>
      <c r="B357" s="46" t="str">
        <f t="shared" si="18"/>
        <v>6</v>
      </c>
      <c r="C357" s="75">
        <v>641</v>
      </c>
      <c r="D357" s="15" t="s">
        <v>126</v>
      </c>
      <c r="E357" s="265">
        <v>0</v>
      </c>
      <c r="F357" s="265">
        <v>0</v>
      </c>
      <c r="G357" s="265">
        <v>0</v>
      </c>
      <c r="H357" s="265">
        <v>0</v>
      </c>
      <c r="I357" s="54">
        <f t="shared" si="17"/>
        <v>0</v>
      </c>
    </row>
    <row r="358" spans="1:9" x14ac:dyDescent="0.25">
      <c r="A358" s="75">
        <v>7100</v>
      </c>
      <c r="B358" s="46" t="str">
        <f t="shared" si="18"/>
        <v>6</v>
      </c>
      <c r="C358" s="75">
        <v>642</v>
      </c>
      <c r="D358" s="15" t="s">
        <v>127</v>
      </c>
      <c r="E358" s="265">
        <v>0</v>
      </c>
      <c r="F358" s="265">
        <v>0</v>
      </c>
      <c r="G358" s="265">
        <v>0</v>
      </c>
      <c r="H358" s="265">
        <v>0</v>
      </c>
      <c r="I358" s="54">
        <f t="shared" si="17"/>
        <v>0</v>
      </c>
    </row>
    <row r="359" spans="1:9" x14ac:dyDescent="0.25">
      <c r="A359" s="75">
        <v>7100</v>
      </c>
      <c r="B359" s="46" t="str">
        <f t="shared" si="18"/>
        <v>6</v>
      </c>
      <c r="C359" s="75">
        <v>643</v>
      </c>
      <c r="D359" s="15" t="s">
        <v>128</v>
      </c>
      <c r="E359" s="265">
        <v>0</v>
      </c>
      <c r="F359" s="265">
        <v>0</v>
      </c>
      <c r="G359" s="265">
        <v>0</v>
      </c>
      <c r="H359" s="265">
        <v>0</v>
      </c>
      <c r="I359" s="54">
        <f t="shared" si="17"/>
        <v>0</v>
      </c>
    </row>
    <row r="360" spans="1:9" x14ac:dyDescent="0.25">
      <c r="A360" s="75">
        <v>7100</v>
      </c>
      <c r="B360" s="46" t="str">
        <f t="shared" si="18"/>
        <v>6</v>
      </c>
      <c r="C360" s="75">
        <v>644</v>
      </c>
      <c r="D360" s="15" t="s">
        <v>129</v>
      </c>
      <c r="E360" s="265">
        <v>0</v>
      </c>
      <c r="F360" s="265">
        <v>0</v>
      </c>
      <c r="G360" s="265">
        <v>0</v>
      </c>
      <c r="H360" s="265">
        <v>0</v>
      </c>
      <c r="I360" s="54">
        <f t="shared" si="17"/>
        <v>0</v>
      </c>
    </row>
    <row r="361" spans="1:9" x14ac:dyDescent="0.25">
      <c r="A361" s="75">
        <v>7100</v>
      </c>
      <c r="B361" s="46" t="str">
        <f t="shared" si="18"/>
        <v>6</v>
      </c>
      <c r="C361" s="75">
        <v>680</v>
      </c>
      <c r="D361" s="15" t="s">
        <v>130</v>
      </c>
      <c r="E361" s="265">
        <v>0</v>
      </c>
      <c r="F361" s="265">
        <v>0</v>
      </c>
      <c r="G361" s="265">
        <v>0</v>
      </c>
      <c r="H361" s="265">
        <v>0</v>
      </c>
      <c r="I361" s="54">
        <f t="shared" si="17"/>
        <v>0</v>
      </c>
    </row>
    <row r="362" spans="1:9" x14ac:dyDescent="0.25">
      <c r="A362" s="75">
        <v>7100</v>
      </c>
      <c r="B362" s="46" t="str">
        <f t="shared" si="18"/>
        <v>6</v>
      </c>
      <c r="C362" s="75">
        <v>690</v>
      </c>
      <c r="D362" s="15" t="s">
        <v>131</v>
      </c>
      <c r="E362" s="265">
        <v>0</v>
      </c>
      <c r="F362" s="265">
        <v>0</v>
      </c>
      <c r="G362" s="265">
        <v>0</v>
      </c>
      <c r="H362" s="265">
        <v>0</v>
      </c>
      <c r="I362" s="54">
        <f t="shared" si="17"/>
        <v>0</v>
      </c>
    </row>
    <row r="363" spans="1:9" x14ac:dyDescent="0.25">
      <c r="A363" s="75">
        <v>7100</v>
      </c>
      <c r="B363" s="46" t="str">
        <f t="shared" si="18"/>
        <v>7</v>
      </c>
      <c r="C363" s="75">
        <v>720</v>
      </c>
      <c r="D363" s="15" t="s">
        <v>132</v>
      </c>
      <c r="E363" s="265">
        <v>0</v>
      </c>
      <c r="F363" s="265">
        <v>0</v>
      </c>
      <c r="G363" s="265">
        <v>0</v>
      </c>
      <c r="H363" s="265">
        <v>0</v>
      </c>
      <c r="I363" s="54">
        <f t="shared" si="17"/>
        <v>0</v>
      </c>
    </row>
    <row r="364" spans="1:9" x14ac:dyDescent="0.25">
      <c r="A364" s="75">
        <v>7100</v>
      </c>
      <c r="B364" s="46" t="str">
        <f t="shared" si="18"/>
        <v>7</v>
      </c>
      <c r="C364" s="75">
        <v>730</v>
      </c>
      <c r="D364" s="15" t="s">
        <v>133</v>
      </c>
      <c r="E364" s="265">
        <v>0</v>
      </c>
      <c r="F364" s="265">
        <v>0</v>
      </c>
      <c r="G364" s="265">
        <v>0</v>
      </c>
      <c r="H364" s="265">
        <v>0</v>
      </c>
      <c r="I364" s="54">
        <f t="shared" si="17"/>
        <v>0</v>
      </c>
    </row>
    <row r="365" spans="1:9" x14ac:dyDescent="0.25">
      <c r="A365" s="75">
        <v>7100</v>
      </c>
      <c r="B365" s="46" t="str">
        <f t="shared" si="18"/>
        <v>7</v>
      </c>
      <c r="C365" s="75">
        <v>750</v>
      </c>
      <c r="D365" s="15" t="s">
        <v>134</v>
      </c>
      <c r="E365" s="265">
        <v>0</v>
      </c>
      <c r="F365" s="265">
        <v>0</v>
      </c>
      <c r="G365" s="265">
        <v>0</v>
      </c>
      <c r="H365" s="265">
        <v>0</v>
      </c>
      <c r="I365" s="54">
        <f t="shared" si="17"/>
        <v>0</v>
      </c>
    </row>
    <row r="366" spans="1:9" x14ac:dyDescent="0.25">
      <c r="A366" s="75">
        <v>7100</v>
      </c>
      <c r="B366" s="46" t="str">
        <f t="shared" si="18"/>
        <v>7</v>
      </c>
      <c r="C366" s="75">
        <v>790</v>
      </c>
      <c r="D366" s="15" t="s">
        <v>135</v>
      </c>
      <c r="E366" s="265">
        <v>0</v>
      </c>
      <c r="F366" s="265">
        <v>0</v>
      </c>
      <c r="G366" s="265">
        <v>0</v>
      </c>
      <c r="H366" s="265">
        <v>0</v>
      </c>
      <c r="I366" s="54">
        <f t="shared" si="17"/>
        <v>0</v>
      </c>
    </row>
    <row r="367" spans="1:9" ht="15.5" x14ac:dyDescent="0.35">
      <c r="B367" s="46">
        <v>7100</v>
      </c>
      <c r="D367" s="76" t="s">
        <v>165</v>
      </c>
      <c r="E367" s="77">
        <f>SUM(E327:E366)</f>
        <v>8300</v>
      </c>
      <c r="F367" s="77">
        <f>SUM(F327:F366)</f>
        <v>0</v>
      </c>
      <c r="G367" s="77">
        <f>SUM(G327:G366)</f>
        <v>0</v>
      </c>
      <c r="H367" s="77">
        <f>SUM(H327:H366)</f>
        <v>0</v>
      </c>
      <c r="I367" s="77">
        <f>SUM(I327:I366)</f>
        <v>8300</v>
      </c>
    </row>
    <row r="368" spans="1:9" ht="18.5" x14ac:dyDescent="0.45">
      <c r="A368" s="48" t="s">
        <v>158</v>
      </c>
      <c r="B368" s="49"/>
      <c r="C368" s="50"/>
      <c r="D368" s="50"/>
      <c r="E368" s="74"/>
      <c r="F368" s="74"/>
      <c r="G368" s="74"/>
      <c r="H368" s="74"/>
      <c r="I368" s="74"/>
    </row>
    <row r="369" spans="1:9" ht="12.65" customHeight="1" x14ac:dyDescent="0.25">
      <c r="A369" s="75">
        <v>7300</v>
      </c>
      <c r="B369" s="46" t="str">
        <f>LEFT(C369,1)</f>
        <v>1</v>
      </c>
      <c r="C369" s="75">
        <v>110</v>
      </c>
      <c r="D369" s="15" t="s">
        <v>102</v>
      </c>
      <c r="E369" s="265">
        <v>250000</v>
      </c>
      <c r="F369" s="265">
        <v>0</v>
      </c>
      <c r="G369" s="265">
        <v>0</v>
      </c>
      <c r="H369" s="265">
        <v>0</v>
      </c>
      <c r="I369" s="54">
        <f t="shared" ref="I369:I408" si="19">SUM(E369:H369)</f>
        <v>250000</v>
      </c>
    </row>
    <row r="370" spans="1:9" ht="12.65" customHeight="1" x14ac:dyDescent="0.25">
      <c r="A370" s="75">
        <v>7300</v>
      </c>
      <c r="B370" s="46" t="str">
        <f t="shared" ref="B370:B408" si="20">LEFT(C370,1)</f>
        <v>1</v>
      </c>
      <c r="C370" s="75">
        <v>120</v>
      </c>
      <c r="D370" s="15" t="s">
        <v>103</v>
      </c>
      <c r="E370" s="265">
        <v>0</v>
      </c>
      <c r="F370" s="265">
        <v>0</v>
      </c>
      <c r="G370" s="265">
        <v>0</v>
      </c>
      <c r="H370" s="265">
        <v>0</v>
      </c>
      <c r="I370" s="54">
        <f t="shared" si="19"/>
        <v>0</v>
      </c>
    </row>
    <row r="371" spans="1:9" ht="12.65" customHeight="1" x14ac:dyDescent="0.25">
      <c r="A371" s="75">
        <v>7300</v>
      </c>
      <c r="B371" s="46" t="str">
        <f t="shared" si="20"/>
        <v>1</v>
      </c>
      <c r="C371" s="75">
        <v>130</v>
      </c>
      <c r="D371" s="15" t="s">
        <v>104</v>
      </c>
      <c r="E371" s="265">
        <v>0</v>
      </c>
      <c r="F371" s="265">
        <v>0</v>
      </c>
      <c r="G371" s="265">
        <v>0</v>
      </c>
      <c r="H371" s="265">
        <v>0</v>
      </c>
      <c r="I371" s="54">
        <f t="shared" si="19"/>
        <v>0</v>
      </c>
    </row>
    <row r="372" spans="1:9" ht="12.65" customHeight="1" x14ac:dyDescent="0.25">
      <c r="A372" s="75">
        <v>7300</v>
      </c>
      <c r="B372" s="46" t="str">
        <f t="shared" si="20"/>
        <v>1</v>
      </c>
      <c r="C372" s="75">
        <v>140</v>
      </c>
      <c r="D372" s="15" t="s">
        <v>105</v>
      </c>
      <c r="E372" s="265">
        <v>0</v>
      </c>
      <c r="F372" s="265">
        <v>0</v>
      </c>
      <c r="G372" s="265">
        <v>0</v>
      </c>
      <c r="H372" s="265">
        <v>0</v>
      </c>
      <c r="I372" s="54">
        <f t="shared" si="19"/>
        <v>0</v>
      </c>
    </row>
    <row r="373" spans="1:9" ht="12.65" customHeight="1" x14ac:dyDescent="0.25">
      <c r="A373" s="75">
        <v>7300</v>
      </c>
      <c r="B373" s="46" t="str">
        <f t="shared" si="20"/>
        <v>1</v>
      </c>
      <c r="C373" s="75">
        <v>150</v>
      </c>
      <c r="D373" s="15" t="s">
        <v>106</v>
      </c>
      <c r="E373" s="265">
        <v>0</v>
      </c>
      <c r="F373" s="265">
        <v>0</v>
      </c>
      <c r="G373" s="265">
        <v>0</v>
      </c>
      <c r="H373" s="265">
        <v>0</v>
      </c>
      <c r="I373" s="54">
        <f t="shared" si="19"/>
        <v>0</v>
      </c>
    </row>
    <row r="374" spans="1:9" ht="12.65" customHeight="1" x14ac:dyDescent="0.25">
      <c r="A374" s="75">
        <v>7300</v>
      </c>
      <c r="B374" s="46" t="str">
        <f t="shared" si="20"/>
        <v>1</v>
      </c>
      <c r="C374" s="75">
        <v>160</v>
      </c>
      <c r="D374" s="15" t="s">
        <v>107</v>
      </c>
      <c r="E374" s="265">
        <v>171000</v>
      </c>
      <c r="F374" s="265">
        <v>0</v>
      </c>
      <c r="G374" s="265">
        <v>0</v>
      </c>
      <c r="H374" s="265">
        <v>0</v>
      </c>
      <c r="I374" s="54">
        <f t="shared" si="19"/>
        <v>171000</v>
      </c>
    </row>
    <row r="375" spans="1:9" ht="12.65" customHeight="1" x14ac:dyDescent="0.25">
      <c r="A375" s="75">
        <v>7300</v>
      </c>
      <c r="B375" s="46" t="str">
        <f t="shared" si="20"/>
        <v>2</v>
      </c>
      <c r="C375" s="75">
        <v>210</v>
      </c>
      <c r="D375" s="15" t="s">
        <v>108</v>
      </c>
      <c r="E375" s="265">
        <v>0</v>
      </c>
      <c r="F375" s="265">
        <v>0</v>
      </c>
      <c r="G375" s="265">
        <v>0</v>
      </c>
      <c r="H375" s="265">
        <v>0</v>
      </c>
      <c r="I375" s="54">
        <f t="shared" si="19"/>
        <v>0</v>
      </c>
    </row>
    <row r="376" spans="1:9" ht="12.65" customHeight="1" x14ac:dyDescent="0.25">
      <c r="A376" s="75">
        <v>7300</v>
      </c>
      <c r="B376" s="46" t="str">
        <f t="shared" si="20"/>
        <v>2</v>
      </c>
      <c r="C376" s="75">
        <v>220</v>
      </c>
      <c r="D376" s="15" t="s">
        <v>109</v>
      </c>
      <c r="E376" s="265">
        <f>+(250000+171000)*0.08</f>
        <v>33680</v>
      </c>
      <c r="F376" s="265">
        <v>0</v>
      </c>
      <c r="G376" s="265">
        <v>0</v>
      </c>
      <c r="H376" s="265">
        <v>0</v>
      </c>
      <c r="I376" s="54">
        <f t="shared" si="19"/>
        <v>33680</v>
      </c>
    </row>
    <row r="377" spans="1:9" ht="12.65" customHeight="1" x14ac:dyDescent="0.25">
      <c r="A377" s="75">
        <v>7300</v>
      </c>
      <c r="B377" s="46" t="str">
        <f t="shared" si="20"/>
        <v>2</v>
      </c>
      <c r="C377" s="75">
        <v>230</v>
      </c>
      <c r="D377" s="15" t="s">
        <v>110</v>
      </c>
      <c r="E377" s="265">
        <v>21000</v>
      </c>
      <c r="F377" s="265">
        <v>0</v>
      </c>
      <c r="G377" s="265">
        <v>0</v>
      </c>
      <c r="H377" s="265">
        <v>0</v>
      </c>
      <c r="I377" s="54">
        <f t="shared" si="19"/>
        <v>21000</v>
      </c>
    </row>
    <row r="378" spans="1:9" ht="12.65" customHeight="1" x14ac:dyDescent="0.25">
      <c r="A378" s="75">
        <v>7300</v>
      </c>
      <c r="B378" s="46" t="str">
        <f t="shared" si="20"/>
        <v>2</v>
      </c>
      <c r="C378" s="75">
        <v>240</v>
      </c>
      <c r="D378" s="15" t="s">
        <v>111</v>
      </c>
      <c r="E378" s="265">
        <v>4000</v>
      </c>
      <c r="F378" s="265">
        <v>0</v>
      </c>
      <c r="G378" s="265">
        <v>0</v>
      </c>
      <c r="H378" s="265">
        <v>0</v>
      </c>
      <c r="I378" s="54">
        <f t="shared" si="19"/>
        <v>4000</v>
      </c>
    </row>
    <row r="379" spans="1:9" ht="12.65" customHeight="1" x14ac:dyDescent="0.25">
      <c r="A379" s="75">
        <v>7300</v>
      </c>
      <c r="B379" s="46" t="str">
        <f t="shared" si="20"/>
        <v>2</v>
      </c>
      <c r="C379" s="75">
        <v>250</v>
      </c>
      <c r="D379" s="15" t="s">
        <v>112</v>
      </c>
      <c r="E379" s="265">
        <v>2500</v>
      </c>
      <c r="F379" s="265">
        <v>0</v>
      </c>
      <c r="G379" s="265">
        <v>0</v>
      </c>
      <c r="H379" s="265">
        <v>0</v>
      </c>
      <c r="I379" s="54">
        <f t="shared" si="19"/>
        <v>2500</v>
      </c>
    </row>
    <row r="380" spans="1:9" ht="12.65" customHeight="1" x14ac:dyDescent="0.25">
      <c r="A380" s="75">
        <v>7300</v>
      </c>
      <c r="B380" s="46" t="str">
        <f t="shared" si="20"/>
        <v>2</v>
      </c>
      <c r="C380" s="75">
        <v>290</v>
      </c>
      <c r="D380" s="15" t="s">
        <v>113</v>
      </c>
      <c r="E380" s="265">
        <v>0</v>
      </c>
      <c r="F380" s="265">
        <v>0</v>
      </c>
      <c r="G380" s="265">
        <v>0</v>
      </c>
      <c r="H380" s="265">
        <v>0</v>
      </c>
      <c r="I380" s="54">
        <f t="shared" si="19"/>
        <v>0</v>
      </c>
    </row>
    <row r="381" spans="1:9" x14ac:dyDescent="0.25">
      <c r="A381" s="75">
        <v>7300</v>
      </c>
      <c r="B381" s="46" t="str">
        <f t="shared" si="20"/>
        <v>3</v>
      </c>
      <c r="C381" s="75">
        <v>310</v>
      </c>
      <c r="D381" s="15" t="s">
        <v>114</v>
      </c>
      <c r="E381" s="265">
        <v>0</v>
      </c>
      <c r="F381" s="265">
        <v>0</v>
      </c>
      <c r="G381" s="265">
        <v>0</v>
      </c>
      <c r="H381" s="265">
        <v>0</v>
      </c>
      <c r="I381" s="54">
        <f t="shared" si="19"/>
        <v>0</v>
      </c>
    </row>
    <row r="382" spans="1:9" x14ac:dyDescent="0.25">
      <c r="A382" s="75">
        <v>7300</v>
      </c>
      <c r="B382" s="46" t="str">
        <f t="shared" si="20"/>
        <v>3</v>
      </c>
      <c r="C382" s="75">
        <v>320</v>
      </c>
      <c r="D382" s="15" t="s">
        <v>115</v>
      </c>
      <c r="E382" s="265">
        <v>20000</v>
      </c>
      <c r="F382" s="265">
        <v>0</v>
      </c>
      <c r="G382" s="265">
        <v>0</v>
      </c>
      <c r="H382" s="265">
        <v>0</v>
      </c>
      <c r="I382" s="54">
        <f t="shared" si="19"/>
        <v>20000</v>
      </c>
    </row>
    <row r="383" spans="1:9" x14ac:dyDescent="0.25">
      <c r="A383" s="75">
        <v>7300</v>
      </c>
      <c r="B383" s="46" t="str">
        <f t="shared" si="20"/>
        <v>3</v>
      </c>
      <c r="C383" s="75">
        <v>330</v>
      </c>
      <c r="D383" s="15" t="s">
        <v>84</v>
      </c>
      <c r="E383" s="265">
        <v>1800</v>
      </c>
      <c r="F383" s="265">
        <v>0</v>
      </c>
      <c r="G383" s="265">
        <v>0</v>
      </c>
      <c r="H383" s="265">
        <v>0</v>
      </c>
      <c r="I383" s="54">
        <f t="shared" si="19"/>
        <v>1800</v>
      </c>
    </row>
    <row r="384" spans="1:9" x14ac:dyDescent="0.25">
      <c r="A384" s="75">
        <v>7300</v>
      </c>
      <c r="B384" s="46" t="str">
        <f t="shared" si="20"/>
        <v>3</v>
      </c>
      <c r="C384" s="75">
        <v>350</v>
      </c>
      <c r="D384" s="15" t="s">
        <v>116</v>
      </c>
      <c r="E384" s="265">
        <v>0</v>
      </c>
      <c r="F384" s="265">
        <v>0</v>
      </c>
      <c r="G384" s="265">
        <v>0</v>
      </c>
      <c r="H384" s="265">
        <v>0</v>
      </c>
      <c r="I384" s="54">
        <f t="shared" si="19"/>
        <v>0</v>
      </c>
    </row>
    <row r="385" spans="1:9" x14ac:dyDescent="0.25">
      <c r="A385" s="75">
        <v>7300</v>
      </c>
      <c r="B385" s="46" t="str">
        <f t="shared" si="20"/>
        <v>3</v>
      </c>
      <c r="C385" s="75">
        <v>360</v>
      </c>
      <c r="D385" s="15" t="s">
        <v>92</v>
      </c>
      <c r="E385" s="265">
        <v>0</v>
      </c>
      <c r="F385" s="265">
        <v>0</v>
      </c>
      <c r="G385" s="265">
        <v>0</v>
      </c>
      <c r="H385" s="265">
        <v>0</v>
      </c>
      <c r="I385" s="54">
        <f t="shared" si="19"/>
        <v>0</v>
      </c>
    </row>
    <row r="386" spans="1:9" x14ac:dyDescent="0.25">
      <c r="A386" s="75">
        <v>7300</v>
      </c>
      <c r="B386" s="46" t="str">
        <f t="shared" si="20"/>
        <v>3</v>
      </c>
      <c r="C386" s="75">
        <v>370</v>
      </c>
      <c r="D386" s="15" t="s">
        <v>93</v>
      </c>
      <c r="E386" s="265">
        <v>0</v>
      </c>
      <c r="F386" s="265">
        <v>0</v>
      </c>
      <c r="G386" s="265">
        <v>0</v>
      </c>
      <c r="H386" s="265">
        <v>0</v>
      </c>
      <c r="I386" s="54">
        <f t="shared" si="19"/>
        <v>0</v>
      </c>
    </row>
    <row r="387" spans="1:9" x14ac:dyDescent="0.25">
      <c r="A387" s="75">
        <v>7300</v>
      </c>
      <c r="B387" s="46" t="str">
        <f t="shared" si="20"/>
        <v>3</v>
      </c>
      <c r="C387" s="75">
        <v>380</v>
      </c>
      <c r="D387" s="15" t="s">
        <v>117</v>
      </c>
      <c r="E387" s="265">
        <v>0</v>
      </c>
      <c r="F387" s="265">
        <v>0</v>
      </c>
      <c r="G387" s="265">
        <v>0</v>
      </c>
      <c r="H387" s="265">
        <v>0</v>
      </c>
      <c r="I387" s="54">
        <f t="shared" si="19"/>
        <v>0</v>
      </c>
    </row>
    <row r="388" spans="1:9" x14ac:dyDescent="0.25">
      <c r="A388" s="75">
        <v>7300</v>
      </c>
      <c r="B388" s="46" t="str">
        <f t="shared" si="20"/>
        <v>3</v>
      </c>
      <c r="C388" s="75">
        <v>390</v>
      </c>
      <c r="D388" s="15" t="s">
        <v>118</v>
      </c>
      <c r="E388" s="265">
        <v>4000</v>
      </c>
      <c r="F388" s="265">
        <v>0</v>
      </c>
      <c r="G388" s="265">
        <v>0</v>
      </c>
      <c r="H388" s="265">
        <v>0</v>
      </c>
      <c r="I388" s="54">
        <f t="shared" si="19"/>
        <v>4000</v>
      </c>
    </row>
    <row r="389" spans="1:9" x14ac:dyDescent="0.25">
      <c r="A389" s="75">
        <v>7300</v>
      </c>
      <c r="B389" s="46" t="str">
        <f t="shared" si="20"/>
        <v>4</v>
      </c>
      <c r="C389" s="75">
        <v>430</v>
      </c>
      <c r="D389" s="15" t="s">
        <v>119</v>
      </c>
      <c r="E389" s="265">
        <v>0</v>
      </c>
      <c r="F389" s="265">
        <v>0</v>
      </c>
      <c r="G389" s="265">
        <v>0</v>
      </c>
      <c r="H389" s="265">
        <v>0</v>
      </c>
      <c r="I389" s="54">
        <f t="shared" si="19"/>
        <v>0</v>
      </c>
    </row>
    <row r="390" spans="1:9" x14ac:dyDescent="0.25">
      <c r="A390" s="75">
        <v>7300</v>
      </c>
      <c r="B390" s="46" t="str">
        <f t="shared" si="20"/>
        <v>5</v>
      </c>
      <c r="C390" s="75">
        <v>510</v>
      </c>
      <c r="D390" s="15" t="s">
        <v>94</v>
      </c>
      <c r="E390" s="265">
        <v>9000</v>
      </c>
      <c r="F390" s="265">
        <v>0</v>
      </c>
      <c r="G390" s="265">
        <v>0</v>
      </c>
      <c r="H390" s="265">
        <v>0</v>
      </c>
      <c r="I390" s="54">
        <f t="shared" si="19"/>
        <v>9000</v>
      </c>
    </row>
    <row r="391" spans="1:9" x14ac:dyDescent="0.25">
      <c r="A391" s="75">
        <v>7300</v>
      </c>
      <c r="B391" s="46" t="str">
        <f t="shared" si="20"/>
        <v>5</v>
      </c>
      <c r="C391" s="75">
        <v>520</v>
      </c>
      <c r="D391" s="15" t="s">
        <v>95</v>
      </c>
      <c r="E391" s="265">
        <v>0</v>
      </c>
      <c r="F391" s="265">
        <v>0</v>
      </c>
      <c r="G391" s="265">
        <v>0</v>
      </c>
      <c r="H391" s="265">
        <v>0</v>
      </c>
      <c r="I391" s="54">
        <f t="shared" si="19"/>
        <v>0</v>
      </c>
    </row>
    <row r="392" spans="1:9" x14ac:dyDescent="0.25">
      <c r="A392" s="75">
        <v>7300</v>
      </c>
      <c r="B392" s="46" t="str">
        <f t="shared" si="20"/>
        <v>5</v>
      </c>
      <c r="C392" s="75">
        <v>530</v>
      </c>
      <c r="D392" s="15" t="s">
        <v>120</v>
      </c>
      <c r="E392" s="265">
        <v>0</v>
      </c>
      <c r="F392" s="265">
        <v>0</v>
      </c>
      <c r="G392" s="265">
        <v>0</v>
      </c>
      <c r="H392" s="265">
        <v>0</v>
      </c>
      <c r="I392" s="54">
        <f t="shared" si="19"/>
        <v>0</v>
      </c>
    </row>
    <row r="393" spans="1:9" x14ac:dyDescent="0.25">
      <c r="A393" s="75">
        <v>7300</v>
      </c>
      <c r="B393" s="46" t="str">
        <f t="shared" si="20"/>
        <v>5</v>
      </c>
      <c r="C393" s="75">
        <v>570</v>
      </c>
      <c r="D393" s="15" t="s">
        <v>85</v>
      </c>
      <c r="E393" s="265">
        <v>0</v>
      </c>
      <c r="F393" s="265">
        <v>0</v>
      </c>
      <c r="G393" s="265">
        <v>0</v>
      </c>
      <c r="H393" s="265">
        <v>0</v>
      </c>
      <c r="I393" s="54">
        <f t="shared" si="19"/>
        <v>0</v>
      </c>
    </row>
    <row r="394" spans="1:9" x14ac:dyDescent="0.25">
      <c r="A394" s="75">
        <v>7300</v>
      </c>
      <c r="B394" s="46" t="str">
        <f t="shared" si="20"/>
        <v>5</v>
      </c>
      <c r="C394" s="75">
        <v>590</v>
      </c>
      <c r="D394" s="15" t="s">
        <v>121</v>
      </c>
      <c r="E394" s="265">
        <v>3000</v>
      </c>
      <c r="F394" s="265">
        <v>0</v>
      </c>
      <c r="G394" s="265">
        <v>0</v>
      </c>
      <c r="H394" s="265">
        <v>0</v>
      </c>
      <c r="I394" s="54">
        <f t="shared" si="19"/>
        <v>3000</v>
      </c>
    </row>
    <row r="395" spans="1:9" x14ac:dyDescent="0.25">
      <c r="A395" s="75">
        <v>7300</v>
      </c>
      <c r="B395" s="46" t="str">
        <f t="shared" si="20"/>
        <v>6</v>
      </c>
      <c r="C395" s="75">
        <v>610</v>
      </c>
      <c r="D395" s="15" t="s">
        <v>122</v>
      </c>
      <c r="E395" s="265">
        <v>0</v>
      </c>
      <c r="F395" s="265">
        <v>0</v>
      </c>
      <c r="G395" s="265">
        <v>0</v>
      </c>
      <c r="H395" s="265">
        <v>0</v>
      </c>
      <c r="I395" s="54">
        <f t="shared" si="19"/>
        <v>0</v>
      </c>
    </row>
    <row r="396" spans="1:9" x14ac:dyDescent="0.25">
      <c r="A396" s="75">
        <v>7300</v>
      </c>
      <c r="B396" s="46" t="str">
        <f t="shared" si="20"/>
        <v>6</v>
      </c>
      <c r="C396" s="75">
        <v>621</v>
      </c>
      <c r="D396" s="15" t="s">
        <v>123</v>
      </c>
      <c r="E396" s="265">
        <v>0</v>
      </c>
      <c r="F396" s="265">
        <v>0</v>
      </c>
      <c r="G396" s="265">
        <v>0</v>
      </c>
      <c r="H396" s="265">
        <v>0</v>
      </c>
      <c r="I396" s="54">
        <f t="shared" si="19"/>
        <v>0</v>
      </c>
    </row>
    <row r="397" spans="1:9" x14ac:dyDescent="0.25">
      <c r="A397" s="75">
        <v>7300</v>
      </c>
      <c r="B397" s="46" t="str">
        <f t="shared" si="20"/>
        <v>6</v>
      </c>
      <c r="C397" s="75">
        <v>622</v>
      </c>
      <c r="D397" s="15" t="s">
        <v>124</v>
      </c>
      <c r="E397" s="265">
        <v>0</v>
      </c>
      <c r="F397" s="265">
        <v>0</v>
      </c>
      <c r="G397" s="265">
        <v>0</v>
      </c>
      <c r="H397" s="265">
        <v>0</v>
      </c>
      <c r="I397" s="54">
        <f t="shared" si="19"/>
        <v>0</v>
      </c>
    </row>
    <row r="398" spans="1:9" x14ac:dyDescent="0.25">
      <c r="A398" s="75">
        <v>7300</v>
      </c>
      <c r="B398" s="46" t="str">
        <f t="shared" si="20"/>
        <v>6</v>
      </c>
      <c r="C398" s="75">
        <v>630</v>
      </c>
      <c r="D398" s="15" t="s">
        <v>125</v>
      </c>
      <c r="E398" s="265">
        <v>0</v>
      </c>
      <c r="F398" s="265">
        <v>0</v>
      </c>
      <c r="G398" s="265">
        <v>0</v>
      </c>
      <c r="H398" s="265">
        <v>0</v>
      </c>
      <c r="I398" s="54">
        <f t="shared" si="19"/>
        <v>0</v>
      </c>
    </row>
    <row r="399" spans="1:9" x14ac:dyDescent="0.25">
      <c r="A399" s="75">
        <v>7300</v>
      </c>
      <c r="B399" s="46" t="str">
        <f t="shared" si="20"/>
        <v>6</v>
      </c>
      <c r="C399" s="75">
        <v>641</v>
      </c>
      <c r="D399" s="15" t="s">
        <v>126</v>
      </c>
      <c r="E399" s="265">
        <v>0</v>
      </c>
      <c r="F399" s="265">
        <v>0</v>
      </c>
      <c r="G399" s="265">
        <v>0</v>
      </c>
      <c r="H399" s="265">
        <v>0</v>
      </c>
      <c r="I399" s="54">
        <f t="shared" si="19"/>
        <v>0</v>
      </c>
    </row>
    <row r="400" spans="1:9" x14ac:dyDescent="0.25">
      <c r="A400" s="75">
        <v>7300</v>
      </c>
      <c r="B400" s="46" t="str">
        <f t="shared" si="20"/>
        <v>6</v>
      </c>
      <c r="C400" s="75">
        <v>642</v>
      </c>
      <c r="D400" s="15" t="s">
        <v>127</v>
      </c>
      <c r="E400" s="265">
        <v>0</v>
      </c>
      <c r="F400" s="265">
        <v>0</v>
      </c>
      <c r="G400" s="265">
        <v>0</v>
      </c>
      <c r="H400" s="265">
        <v>0</v>
      </c>
      <c r="I400" s="54">
        <f t="shared" si="19"/>
        <v>0</v>
      </c>
    </row>
    <row r="401" spans="1:9" x14ac:dyDescent="0.25">
      <c r="A401" s="75">
        <v>7300</v>
      </c>
      <c r="B401" s="46" t="str">
        <f t="shared" si="20"/>
        <v>6</v>
      </c>
      <c r="C401" s="75">
        <v>643</v>
      </c>
      <c r="D401" s="15" t="s">
        <v>128</v>
      </c>
      <c r="E401" s="265">
        <v>0</v>
      </c>
      <c r="F401" s="265">
        <v>0</v>
      </c>
      <c r="G401" s="265">
        <v>0</v>
      </c>
      <c r="H401" s="265">
        <v>0</v>
      </c>
      <c r="I401" s="54">
        <f t="shared" si="19"/>
        <v>0</v>
      </c>
    </row>
    <row r="402" spans="1:9" x14ac:dyDescent="0.25">
      <c r="A402" s="75">
        <v>7300</v>
      </c>
      <c r="B402" s="46" t="str">
        <f t="shared" si="20"/>
        <v>6</v>
      </c>
      <c r="C402" s="75">
        <v>644</v>
      </c>
      <c r="D402" s="15" t="s">
        <v>129</v>
      </c>
      <c r="E402" s="265">
        <v>0</v>
      </c>
      <c r="F402" s="265">
        <v>0</v>
      </c>
      <c r="G402" s="265">
        <v>0</v>
      </c>
      <c r="H402" s="265">
        <v>0</v>
      </c>
      <c r="I402" s="54">
        <f t="shared" si="19"/>
        <v>0</v>
      </c>
    </row>
    <row r="403" spans="1:9" x14ac:dyDescent="0.25">
      <c r="A403" s="75">
        <v>7300</v>
      </c>
      <c r="B403" s="46" t="str">
        <f t="shared" si="20"/>
        <v>6</v>
      </c>
      <c r="C403" s="75">
        <v>680</v>
      </c>
      <c r="D403" s="15" t="s">
        <v>130</v>
      </c>
      <c r="E403" s="265">
        <v>0</v>
      </c>
      <c r="F403" s="265">
        <v>0</v>
      </c>
      <c r="G403" s="265">
        <v>0</v>
      </c>
      <c r="H403" s="265">
        <v>0</v>
      </c>
      <c r="I403" s="54">
        <f t="shared" si="19"/>
        <v>0</v>
      </c>
    </row>
    <row r="404" spans="1:9" x14ac:dyDescent="0.25">
      <c r="A404" s="75">
        <v>7300</v>
      </c>
      <c r="B404" s="46" t="str">
        <f t="shared" si="20"/>
        <v>6</v>
      </c>
      <c r="C404" s="75">
        <v>690</v>
      </c>
      <c r="D404" s="15" t="s">
        <v>131</v>
      </c>
      <c r="E404" s="265">
        <v>0</v>
      </c>
      <c r="F404" s="265">
        <v>0</v>
      </c>
      <c r="G404" s="265">
        <v>0</v>
      </c>
      <c r="H404" s="265">
        <v>0</v>
      </c>
      <c r="I404" s="54">
        <f t="shared" si="19"/>
        <v>0</v>
      </c>
    </row>
    <row r="405" spans="1:9" x14ac:dyDescent="0.25">
      <c r="A405" s="75">
        <v>7300</v>
      </c>
      <c r="B405" s="46" t="str">
        <f t="shared" si="20"/>
        <v>7</v>
      </c>
      <c r="C405" s="75">
        <v>720</v>
      </c>
      <c r="D405" s="15" t="s">
        <v>132</v>
      </c>
      <c r="E405" s="265">
        <v>0</v>
      </c>
      <c r="F405" s="265">
        <v>0</v>
      </c>
      <c r="G405" s="265">
        <v>0</v>
      </c>
      <c r="H405" s="265">
        <v>0</v>
      </c>
      <c r="I405" s="54">
        <f t="shared" si="19"/>
        <v>0</v>
      </c>
    </row>
    <row r="406" spans="1:9" x14ac:dyDescent="0.25">
      <c r="A406" s="75">
        <v>7300</v>
      </c>
      <c r="B406" s="46" t="str">
        <f t="shared" si="20"/>
        <v>7</v>
      </c>
      <c r="C406" s="75">
        <v>730</v>
      </c>
      <c r="D406" s="15" t="s">
        <v>133</v>
      </c>
      <c r="E406" s="265">
        <v>91000</v>
      </c>
      <c r="F406" s="265">
        <v>0</v>
      </c>
      <c r="G406" s="265">
        <v>0</v>
      </c>
      <c r="H406" s="265">
        <v>0</v>
      </c>
      <c r="I406" s="54">
        <f t="shared" si="19"/>
        <v>91000</v>
      </c>
    </row>
    <row r="407" spans="1:9" x14ac:dyDescent="0.25">
      <c r="A407" s="75">
        <v>7300</v>
      </c>
      <c r="B407" s="46" t="str">
        <f t="shared" si="20"/>
        <v>7</v>
      </c>
      <c r="C407" s="75">
        <v>750</v>
      </c>
      <c r="D407" s="15" t="s">
        <v>134</v>
      </c>
      <c r="E407" s="265">
        <v>0</v>
      </c>
      <c r="F407" s="265">
        <v>0</v>
      </c>
      <c r="G407" s="265">
        <v>0</v>
      </c>
      <c r="H407" s="265">
        <v>0</v>
      </c>
      <c r="I407" s="54">
        <f t="shared" si="19"/>
        <v>0</v>
      </c>
    </row>
    <row r="408" spans="1:9" x14ac:dyDescent="0.25">
      <c r="A408" s="75">
        <v>7300</v>
      </c>
      <c r="B408" s="46" t="str">
        <f t="shared" si="20"/>
        <v>7</v>
      </c>
      <c r="C408" s="75">
        <v>790</v>
      </c>
      <c r="D408" s="15" t="s">
        <v>135</v>
      </c>
      <c r="E408" s="265">
        <v>275000</v>
      </c>
      <c r="F408" s="265">
        <v>0</v>
      </c>
      <c r="G408" s="265">
        <v>0</v>
      </c>
      <c r="H408" s="265">
        <v>0</v>
      </c>
      <c r="I408" s="54">
        <f t="shared" si="19"/>
        <v>275000</v>
      </c>
    </row>
    <row r="409" spans="1:9" ht="15.5" x14ac:dyDescent="0.35">
      <c r="B409" s="46">
        <v>7300</v>
      </c>
      <c r="D409" s="76" t="s">
        <v>166</v>
      </c>
      <c r="E409" s="77">
        <f>SUM(E369:E408)</f>
        <v>885980</v>
      </c>
      <c r="F409" s="77">
        <f>SUM(F369:F408)</f>
        <v>0</v>
      </c>
      <c r="G409" s="77">
        <f>SUM(G369:G408)</f>
        <v>0</v>
      </c>
      <c r="H409" s="77">
        <f>SUM(H369:H408)</f>
        <v>0</v>
      </c>
      <c r="I409" s="77">
        <f>SUM(I369:I408)</f>
        <v>885980</v>
      </c>
    </row>
    <row r="410" spans="1:9" ht="18.5" x14ac:dyDescent="0.45">
      <c r="A410" s="48" t="s">
        <v>183</v>
      </c>
      <c r="B410" s="49"/>
      <c r="C410" s="50"/>
      <c r="D410" s="50"/>
      <c r="E410" s="74"/>
      <c r="F410" s="74"/>
      <c r="G410" s="74"/>
      <c r="H410" s="74"/>
      <c r="I410" s="74"/>
    </row>
    <row r="411" spans="1:9" ht="12.65" customHeight="1" x14ac:dyDescent="0.25">
      <c r="A411" s="75">
        <v>7400</v>
      </c>
      <c r="B411" s="46" t="str">
        <f>LEFT(C411,1)</f>
        <v>3</v>
      </c>
      <c r="C411" s="75">
        <v>360</v>
      </c>
      <c r="D411" s="15" t="s">
        <v>92</v>
      </c>
      <c r="E411" s="265">
        <v>0</v>
      </c>
      <c r="F411" s="265">
        <v>0</v>
      </c>
      <c r="G411" s="265">
        <v>0</v>
      </c>
      <c r="H411" s="265">
        <v>0</v>
      </c>
      <c r="I411" s="54">
        <f t="shared" ref="I411:I412" si="21">SUM(E411:H411)</f>
        <v>0</v>
      </c>
    </row>
    <row r="412" spans="1:9" ht="12.65" customHeight="1" x14ac:dyDescent="0.25">
      <c r="A412" s="75">
        <v>7400</v>
      </c>
      <c r="B412" s="46" t="str">
        <f>LEFT(C412,1)</f>
        <v>6</v>
      </c>
      <c r="C412" s="75">
        <v>630</v>
      </c>
      <c r="D412" s="15" t="s">
        <v>125</v>
      </c>
      <c r="E412" s="265">
        <v>50000</v>
      </c>
      <c r="F412" s="265">
        <v>0</v>
      </c>
      <c r="G412" s="265">
        <v>0</v>
      </c>
      <c r="H412" s="265">
        <v>0</v>
      </c>
      <c r="I412" s="54">
        <f t="shared" si="21"/>
        <v>50000</v>
      </c>
    </row>
    <row r="413" spans="1:9" ht="15.65" customHeight="1" x14ac:dyDescent="0.35">
      <c r="B413" s="46">
        <v>7400</v>
      </c>
      <c r="D413" s="76" t="s">
        <v>220</v>
      </c>
      <c r="E413" s="77">
        <f>SUM(E411:E412)</f>
        <v>50000</v>
      </c>
      <c r="F413" s="77">
        <f>SUM(F411:F412)</f>
        <v>0</v>
      </c>
      <c r="G413" s="77">
        <f>SUM(G411:G412)</f>
        <v>0</v>
      </c>
      <c r="H413" s="77">
        <f>SUM(H411:H412)</f>
        <v>0</v>
      </c>
      <c r="I413" s="77">
        <f>SUM(I411:I412)</f>
        <v>50000</v>
      </c>
    </row>
    <row r="414" spans="1:9" ht="18.649999999999999" customHeight="1" x14ac:dyDescent="0.45">
      <c r="A414" s="48" t="s">
        <v>159</v>
      </c>
      <c r="B414" s="49"/>
      <c r="C414" s="50"/>
      <c r="D414" s="50"/>
      <c r="E414" s="74"/>
      <c r="F414" s="74"/>
      <c r="G414" s="74"/>
      <c r="H414" s="74"/>
      <c r="I414" s="74"/>
    </row>
    <row r="415" spans="1:9" ht="12.65" customHeight="1" x14ac:dyDescent="0.25">
      <c r="A415" s="75">
        <v>7500</v>
      </c>
      <c r="B415" s="46" t="str">
        <f>LEFT(C415,1)</f>
        <v>1</v>
      </c>
      <c r="C415" s="75">
        <v>110</v>
      </c>
      <c r="D415" s="15" t="s">
        <v>102</v>
      </c>
      <c r="E415" s="265">
        <v>0</v>
      </c>
      <c r="F415" s="265">
        <v>0</v>
      </c>
      <c r="G415" s="265">
        <v>0</v>
      </c>
      <c r="H415" s="265">
        <v>0</v>
      </c>
      <c r="I415" s="54">
        <f t="shared" ref="I415:I454" si="22">SUM(E415:H415)</f>
        <v>0</v>
      </c>
    </row>
    <row r="416" spans="1:9" ht="12.65" customHeight="1" x14ac:dyDescent="0.25">
      <c r="A416" s="75">
        <v>7500</v>
      </c>
      <c r="B416" s="46" t="str">
        <f t="shared" ref="B416:B454" si="23">LEFT(C416,1)</f>
        <v>1</v>
      </c>
      <c r="C416" s="75">
        <v>120</v>
      </c>
      <c r="D416" s="15" t="s">
        <v>103</v>
      </c>
      <c r="E416" s="265">
        <v>0</v>
      </c>
      <c r="F416" s="265">
        <v>0</v>
      </c>
      <c r="G416" s="265">
        <v>0</v>
      </c>
      <c r="H416" s="265">
        <v>0</v>
      </c>
      <c r="I416" s="54">
        <f t="shared" si="22"/>
        <v>0</v>
      </c>
    </row>
    <row r="417" spans="1:9" ht="12.65" customHeight="1" x14ac:dyDescent="0.25">
      <c r="A417" s="75">
        <v>7500</v>
      </c>
      <c r="B417" s="46" t="str">
        <f t="shared" si="23"/>
        <v>1</v>
      </c>
      <c r="C417" s="75">
        <v>130</v>
      </c>
      <c r="D417" s="15" t="s">
        <v>104</v>
      </c>
      <c r="E417" s="265">
        <v>0</v>
      </c>
      <c r="F417" s="265">
        <v>0</v>
      </c>
      <c r="G417" s="265">
        <v>0</v>
      </c>
      <c r="H417" s="265">
        <v>0</v>
      </c>
      <c r="I417" s="54">
        <f t="shared" si="22"/>
        <v>0</v>
      </c>
    </row>
    <row r="418" spans="1:9" ht="12.65" customHeight="1" x14ac:dyDescent="0.25">
      <c r="A418" s="75">
        <v>7500</v>
      </c>
      <c r="B418" s="46" t="str">
        <f t="shared" si="23"/>
        <v>1</v>
      </c>
      <c r="C418" s="75">
        <v>140</v>
      </c>
      <c r="D418" s="15" t="s">
        <v>105</v>
      </c>
      <c r="E418" s="265">
        <v>0</v>
      </c>
      <c r="F418" s="265">
        <v>0</v>
      </c>
      <c r="G418" s="265">
        <v>0</v>
      </c>
      <c r="H418" s="265">
        <v>0</v>
      </c>
      <c r="I418" s="54">
        <f t="shared" si="22"/>
        <v>0</v>
      </c>
    </row>
    <row r="419" spans="1:9" ht="12.65" customHeight="1" x14ac:dyDescent="0.25">
      <c r="A419" s="75">
        <v>7500</v>
      </c>
      <c r="B419" s="46" t="str">
        <f t="shared" si="23"/>
        <v>1</v>
      </c>
      <c r="C419" s="75">
        <v>150</v>
      </c>
      <c r="D419" s="15" t="s">
        <v>106</v>
      </c>
      <c r="E419" s="265">
        <v>0</v>
      </c>
      <c r="F419" s="265">
        <v>0</v>
      </c>
      <c r="G419" s="265">
        <v>0</v>
      </c>
      <c r="H419" s="265">
        <v>0</v>
      </c>
      <c r="I419" s="54">
        <f t="shared" si="22"/>
        <v>0</v>
      </c>
    </row>
    <row r="420" spans="1:9" ht="12.65" customHeight="1" x14ac:dyDescent="0.25">
      <c r="A420" s="75">
        <v>7500</v>
      </c>
      <c r="B420" s="46" t="str">
        <f t="shared" si="23"/>
        <v>1</v>
      </c>
      <c r="C420" s="75">
        <v>160</v>
      </c>
      <c r="D420" s="15" t="s">
        <v>107</v>
      </c>
      <c r="E420" s="265">
        <v>0</v>
      </c>
      <c r="F420" s="265">
        <v>0</v>
      </c>
      <c r="G420" s="265">
        <v>0</v>
      </c>
      <c r="H420" s="265">
        <v>0</v>
      </c>
      <c r="I420" s="54">
        <f t="shared" si="22"/>
        <v>0</v>
      </c>
    </row>
    <row r="421" spans="1:9" ht="12.65" customHeight="1" x14ac:dyDescent="0.25">
      <c r="A421" s="75">
        <v>7500</v>
      </c>
      <c r="B421" s="46" t="str">
        <f t="shared" si="23"/>
        <v>2</v>
      </c>
      <c r="C421" s="75">
        <v>210</v>
      </c>
      <c r="D421" s="15" t="s">
        <v>108</v>
      </c>
      <c r="E421" s="265">
        <v>0</v>
      </c>
      <c r="F421" s="265">
        <v>0</v>
      </c>
      <c r="G421" s="265">
        <v>0</v>
      </c>
      <c r="H421" s="265">
        <v>0</v>
      </c>
      <c r="I421" s="54">
        <f t="shared" si="22"/>
        <v>0</v>
      </c>
    </row>
    <row r="422" spans="1:9" ht="12.65" customHeight="1" x14ac:dyDescent="0.25">
      <c r="A422" s="75">
        <v>7500</v>
      </c>
      <c r="B422" s="46" t="str">
        <f t="shared" si="23"/>
        <v>2</v>
      </c>
      <c r="C422" s="75">
        <v>220</v>
      </c>
      <c r="D422" s="15" t="s">
        <v>109</v>
      </c>
      <c r="E422" s="265">
        <v>0</v>
      </c>
      <c r="F422" s="265">
        <v>0</v>
      </c>
      <c r="G422" s="265">
        <v>0</v>
      </c>
      <c r="H422" s="265">
        <v>0</v>
      </c>
      <c r="I422" s="54">
        <f t="shared" si="22"/>
        <v>0</v>
      </c>
    </row>
    <row r="423" spans="1:9" x14ac:dyDescent="0.25">
      <c r="A423" s="75">
        <v>7500</v>
      </c>
      <c r="B423" s="46" t="str">
        <f t="shared" si="23"/>
        <v>2</v>
      </c>
      <c r="C423" s="75">
        <v>230</v>
      </c>
      <c r="D423" s="15" t="s">
        <v>110</v>
      </c>
      <c r="E423" s="265">
        <v>0</v>
      </c>
      <c r="F423" s="265">
        <v>0</v>
      </c>
      <c r="G423" s="265">
        <v>0</v>
      </c>
      <c r="H423" s="265">
        <v>0</v>
      </c>
      <c r="I423" s="54">
        <f t="shared" si="22"/>
        <v>0</v>
      </c>
    </row>
    <row r="424" spans="1:9" x14ac:dyDescent="0.25">
      <c r="A424" s="75">
        <v>7500</v>
      </c>
      <c r="B424" s="46" t="str">
        <f t="shared" si="23"/>
        <v>2</v>
      </c>
      <c r="C424" s="75">
        <v>240</v>
      </c>
      <c r="D424" s="15" t="s">
        <v>111</v>
      </c>
      <c r="E424" s="265">
        <v>0</v>
      </c>
      <c r="F424" s="265">
        <v>0</v>
      </c>
      <c r="G424" s="265">
        <v>0</v>
      </c>
      <c r="H424" s="265">
        <v>0</v>
      </c>
      <c r="I424" s="54">
        <f t="shared" si="22"/>
        <v>0</v>
      </c>
    </row>
    <row r="425" spans="1:9" x14ac:dyDescent="0.25">
      <c r="A425" s="75">
        <v>7500</v>
      </c>
      <c r="B425" s="46" t="str">
        <f t="shared" si="23"/>
        <v>2</v>
      </c>
      <c r="C425" s="75">
        <v>250</v>
      </c>
      <c r="D425" s="15" t="s">
        <v>112</v>
      </c>
      <c r="E425" s="265">
        <v>0</v>
      </c>
      <c r="F425" s="265">
        <v>0</v>
      </c>
      <c r="G425" s="265">
        <v>0</v>
      </c>
      <c r="H425" s="265">
        <v>0</v>
      </c>
      <c r="I425" s="54">
        <f t="shared" si="22"/>
        <v>0</v>
      </c>
    </row>
    <row r="426" spans="1:9" x14ac:dyDescent="0.25">
      <c r="A426" s="75">
        <v>7500</v>
      </c>
      <c r="B426" s="46" t="str">
        <f t="shared" si="23"/>
        <v>2</v>
      </c>
      <c r="C426" s="75">
        <v>290</v>
      </c>
      <c r="D426" s="15" t="s">
        <v>113</v>
      </c>
      <c r="E426" s="265">
        <v>0</v>
      </c>
      <c r="F426" s="265">
        <v>0</v>
      </c>
      <c r="G426" s="265">
        <v>0</v>
      </c>
      <c r="H426" s="265">
        <v>0</v>
      </c>
      <c r="I426" s="54">
        <f t="shared" si="22"/>
        <v>0</v>
      </c>
    </row>
    <row r="427" spans="1:9" x14ac:dyDescent="0.25">
      <c r="A427" s="75">
        <v>7500</v>
      </c>
      <c r="B427" s="46" t="str">
        <f t="shared" si="23"/>
        <v>3</v>
      </c>
      <c r="C427" s="75">
        <v>310</v>
      </c>
      <c r="D427" s="15" t="s">
        <v>114</v>
      </c>
      <c r="E427" s="265">
        <v>28000</v>
      </c>
      <c r="F427" s="265">
        <v>0</v>
      </c>
      <c r="G427" s="265">
        <v>0</v>
      </c>
      <c r="H427" s="265">
        <v>0</v>
      </c>
      <c r="I427" s="54">
        <f t="shared" si="22"/>
        <v>28000</v>
      </c>
    </row>
    <row r="428" spans="1:9" x14ac:dyDescent="0.25">
      <c r="A428" s="75">
        <v>7500</v>
      </c>
      <c r="B428" s="46" t="str">
        <f t="shared" si="23"/>
        <v>3</v>
      </c>
      <c r="C428" s="75">
        <v>320</v>
      </c>
      <c r="D428" s="15" t="s">
        <v>115</v>
      </c>
      <c r="E428" s="265">
        <v>0</v>
      </c>
      <c r="F428" s="265">
        <v>0</v>
      </c>
      <c r="G428" s="265">
        <v>0</v>
      </c>
      <c r="H428" s="265">
        <v>0</v>
      </c>
      <c r="I428" s="54">
        <f t="shared" si="22"/>
        <v>0</v>
      </c>
    </row>
    <row r="429" spans="1:9" x14ac:dyDescent="0.25">
      <c r="A429" s="75">
        <v>7500</v>
      </c>
      <c r="B429" s="46" t="str">
        <f t="shared" si="23"/>
        <v>3</v>
      </c>
      <c r="C429" s="75">
        <v>330</v>
      </c>
      <c r="D429" s="15" t="s">
        <v>84</v>
      </c>
      <c r="E429" s="265">
        <v>0</v>
      </c>
      <c r="F429" s="265">
        <v>0</v>
      </c>
      <c r="G429" s="265">
        <v>0</v>
      </c>
      <c r="H429" s="265">
        <v>0</v>
      </c>
      <c r="I429" s="54">
        <f t="shared" si="22"/>
        <v>0</v>
      </c>
    </row>
    <row r="430" spans="1:9" x14ac:dyDescent="0.25">
      <c r="A430" s="75">
        <v>7500</v>
      </c>
      <c r="B430" s="46" t="str">
        <f t="shared" si="23"/>
        <v>3</v>
      </c>
      <c r="C430" s="75">
        <v>350</v>
      </c>
      <c r="D430" s="15" t="s">
        <v>116</v>
      </c>
      <c r="E430" s="265">
        <v>0</v>
      </c>
      <c r="F430" s="265">
        <v>0</v>
      </c>
      <c r="G430" s="265">
        <v>0</v>
      </c>
      <c r="H430" s="265">
        <v>0</v>
      </c>
      <c r="I430" s="54">
        <f t="shared" si="22"/>
        <v>0</v>
      </c>
    </row>
    <row r="431" spans="1:9" x14ac:dyDescent="0.25">
      <c r="A431" s="75">
        <v>7500</v>
      </c>
      <c r="B431" s="46" t="str">
        <f t="shared" si="23"/>
        <v>3</v>
      </c>
      <c r="C431" s="75">
        <v>360</v>
      </c>
      <c r="D431" s="15" t="s">
        <v>92</v>
      </c>
      <c r="E431" s="265">
        <v>0</v>
      </c>
      <c r="F431" s="265">
        <v>0</v>
      </c>
      <c r="G431" s="265">
        <v>0</v>
      </c>
      <c r="H431" s="265">
        <v>0</v>
      </c>
      <c r="I431" s="54">
        <f t="shared" si="22"/>
        <v>0</v>
      </c>
    </row>
    <row r="432" spans="1:9" x14ac:dyDescent="0.25">
      <c r="A432" s="75">
        <v>7500</v>
      </c>
      <c r="B432" s="46" t="str">
        <f t="shared" si="23"/>
        <v>3</v>
      </c>
      <c r="C432" s="75">
        <v>370</v>
      </c>
      <c r="D432" s="15" t="s">
        <v>93</v>
      </c>
      <c r="E432" s="265">
        <v>0</v>
      </c>
      <c r="F432" s="265">
        <v>0</v>
      </c>
      <c r="G432" s="265">
        <v>0</v>
      </c>
      <c r="H432" s="265">
        <v>0</v>
      </c>
      <c r="I432" s="54">
        <f t="shared" si="22"/>
        <v>0</v>
      </c>
    </row>
    <row r="433" spans="1:9" x14ac:dyDescent="0.25">
      <c r="A433" s="75">
        <v>7500</v>
      </c>
      <c r="B433" s="46" t="str">
        <f t="shared" si="23"/>
        <v>3</v>
      </c>
      <c r="C433" s="75">
        <v>380</v>
      </c>
      <c r="D433" s="15" t="s">
        <v>117</v>
      </c>
      <c r="E433" s="265">
        <v>0</v>
      </c>
      <c r="F433" s="265">
        <v>0</v>
      </c>
      <c r="G433" s="265">
        <v>0</v>
      </c>
      <c r="H433" s="265">
        <v>0</v>
      </c>
      <c r="I433" s="54">
        <f t="shared" si="22"/>
        <v>0</v>
      </c>
    </row>
    <row r="434" spans="1:9" x14ac:dyDescent="0.25">
      <c r="A434" s="75">
        <v>7500</v>
      </c>
      <c r="B434" s="46" t="str">
        <f t="shared" si="23"/>
        <v>3</v>
      </c>
      <c r="C434" s="75">
        <v>390</v>
      </c>
      <c r="D434" s="15" t="s">
        <v>118</v>
      </c>
      <c r="E434" s="265">
        <v>0</v>
      </c>
      <c r="F434" s="265">
        <v>0</v>
      </c>
      <c r="G434" s="265">
        <v>0</v>
      </c>
      <c r="H434" s="265">
        <v>0</v>
      </c>
      <c r="I434" s="54">
        <f t="shared" si="22"/>
        <v>0</v>
      </c>
    </row>
    <row r="435" spans="1:9" x14ac:dyDescent="0.25">
      <c r="A435" s="75">
        <v>7500</v>
      </c>
      <c r="B435" s="46" t="str">
        <f t="shared" si="23"/>
        <v>4</v>
      </c>
      <c r="C435" s="75">
        <v>430</v>
      </c>
      <c r="D435" s="15" t="s">
        <v>119</v>
      </c>
      <c r="E435" s="265">
        <v>0</v>
      </c>
      <c r="F435" s="265">
        <v>0</v>
      </c>
      <c r="G435" s="265">
        <v>0</v>
      </c>
      <c r="H435" s="265">
        <v>0</v>
      </c>
      <c r="I435" s="54">
        <f t="shared" si="22"/>
        <v>0</v>
      </c>
    </row>
    <row r="436" spans="1:9" x14ac:dyDescent="0.25">
      <c r="A436" s="75">
        <v>7500</v>
      </c>
      <c r="B436" s="46" t="str">
        <f t="shared" si="23"/>
        <v>5</v>
      </c>
      <c r="C436" s="75">
        <v>510</v>
      </c>
      <c r="D436" s="15" t="s">
        <v>94</v>
      </c>
      <c r="E436" s="265">
        <v>0</v>
      </c>
      <c r="F436" s="265">
        <v>0</v>
      </c>
      <c r="G436" s="265">
        <v>0</v>
      </c>
      <c r="H436" s="265">
        <v>0</v>
      </c>
      <c r="I436" s="54">
        <f t="shared" si="22"/>
        <v>0</v>
      </c>
    </row>
    <row r="437" spans="1:9" x14ac:dyDescent="0.25">
      <c r="A437" s="75">
        <v>7500</v>
      </c>
      <c r="B437" s="46" t="str">
        <f t="shared" si="23"/>
        <v>5</v>
      </c>
      <c r="C437" s="75">
        <v>520</v>
      </c>
      <c r="D437" s="15" t="s">
        <v>95</v>
      </c>
      <c r="E437" s="265">
        <v>0</v>
      </c>
      <c r="F437" s="265">
        <v>0</v>
      </c>
      <c r="G437" s="265">
        <v>0</v>
      </c>
      <c r="H437" s="265">
        <v>0</v>
      </c>
      <c r="I437" s="54">
        <f t="shared" si="22"/>
        <v>0</v>
      </c>
    </row>
    <row r="438" spans="1:9" x14ac:dyDescent="0.25">
      <c r="A438" s="75">
        <v>7500</v>
      </c>
      <c r="B438" s="46" t="str">
        <f t="shared" si="23"/>
        <v>5</v>
      </c>
      <c r="C438" s="75">
        <v>530</v>
      </c>
      <c r="D438" s="15" t="s">
        <v>120</v>
      </c>
      <c r="E438" s="265">
        <v>0</v>
      </c>
      <c r="F438" s="265">
        <v>0</v>
      </c>
      <c r="G438" s="265">
        <v>0</v>
      </c>
      <c r="H438" s="265">
        <v>0</v>
      </c>
      <c r="I438" s="54">
        <f t="shared" si="22"/>
        <v>0</v>
      </c>
    </row>
    <row r="439" spans="1:9" x14ac:dyDescent="0.25">
      <c r="A439" s="75">
        <v>7500</v>
      </c>
      <c r="B439" s="46" t="str">
        <f t="shared" si="23"/>
        <v>5</v>
      </c>
      <c r="C439" s="75">
        <v>570</v>
      </c>
      <c r="D439" s="15" t="s">
        <v>85</v>
      </c>
      <c r="E439" s="265">
        <v>0</v>
      </c>
      <c r="F439" s="265">
        <v>0</v>
      </c>
      <c r="G439" s="265">
        <v>0</v>
      </c>
      <c r="H439" s="265">
        <v>0</v>
      </c>
      <c r="I439" s="54">
        <f t="shared" si="22"/>
        <v>0</v>
      </c>
    </row>
    <row r="440" spans="1:9" x14ac:dyDescent="0.25">
      <c r="A440" s="75">
        <v>7500</v>
      </c>
      <c r="B440" s="46" t="str">
        <f t="shared" si="23"/>
        <v>5</v>
      </c>
      <c r="C440" s="75">
        <v>590</v>
      </c>
      <c r="D440" s="15" t="s">
        <v>121</v>
      </c>
      <c r="E440" s="265">
        <v>0</v>
      </c>
      <c r="F440" s="265">
        <v>0</v>
      </c>
      <c r="G440" s="265">
        <v>0</v>
      </c>
      <c r="H440" s="265">
        <v>0</v>
      </c>
      <c r="I440" s="54">
        <f t="shared" si="22"/>
        <v>0</v>
      </c>
    </row>
    <row r="441" spans="1:9" x14ac:dyDescent="0.25">
      <c r="A441" s="75">
        <v>7500</v>
      </c>
      <c r="B441" s="46" t="str">
        <f t="shared" si="23"/>
        <v>6</v>
      </c>
      <c r="C441" s="75">
        <v>610</v>
      </c>
      <c r="D441" s="15" t="s">
        <v>122</v>
      </c>
      <c r="E441" s="265">
        <v>0</v>
      </c>
      <c r="F441" s="265">
        <v>0</v>
      </c>
      <c r="G441" s="265">
        <v>0</v>
      </c>
      <c r="H441" s="265">
        <v>0</v>
      </c>
      <c r="I441" s="54">
        <f t="shared" si="22"/>
        <v>0</v>
      </c>
    </row>
    <row r="442" spans="1:9" x14ac:dyDescent="0.25">
      <c r="A442" s="75">
        <v>7500</v>
      </c>
      <c r="B442" s="46" t="str">
        <f t="shared" si="23"/>
        <v>6</v>
      </c>
      <c r="C442" s="75">
        <v>621</v>
      </c>
      <c r="D442" s="15" t="s">
        <v>123</v>
      </c>
      <c r="E442" s="265">
        <v>0</v>
      </c>
      <c r="F442" s="265">
        <v>0</v>
      </c>
      <c r="G442" s="265">
        <v>0</v>
      </c>
      <c r="H442" s="265">
        <v>0</v>
      </c>
      <c r="I442" s="54">
        <f t="shared" si="22"/>
        <v>0</v>
      </c>
    </row>
    <row r="443" spans="1:9" x14ac:dyDescent="0.25">
      <c r="A443" s="75">
        <v>7500</v>
      </c>
      <c r="B443" s="46" t="str">
        <f t="shared" si="23"/>
        <v>6</v>
      </c>
      <c r="C443" s="75">
        <v>622</v>
      </c>
      <c r="D443" s="15" t="s">
        <v>124</v>
      </c>
      <c r="E443" s="265">
        <v>0</v>
      </c>
      <c r="F443" s="265">
        <v>0</v>
      </c>
      <c r="G443" s="265">
        <v>0</v>
      </c>
      <c r="H443" s="265">
        <v>0</v>
      </c>
      <c r="I443" s="54">
        <f t="shared" si="22"/>
        <v>0</v>
      </c>
    </row>
    <row r="444" spans="1:9" x14ac:dyDescent="0.25">
      <c r="A444" s="75">
        <v>7500</v>
      </c>
      <c r="B444" s="46" t="str">
        <f t="shared" si="23"/>
        <v>6</v>
      </c>
      <c r="C444" s="75">
        <v>630</v>
      </c>
      <c r="D444" s="15" t="s">
        <v>125</v>
      </c>
      <c r="E444" s="265">
        <v>0</v>
      </c>
      <c r="F444" s="265">
        <v>0</v>
      </c>
      <c r="G444" s="265">
        <v>0</v>
      </c>
      <c r="H444" s="265">
        <v>0</v>
      </c>
      <c r="I444" s="54">
        <f t="shared" si="22"/>
        <v>0</v>
      </c>
    </row>
    <row r="445" spans="1:9" x14ac:dyDescent="0.25">
      <c r="A445" s="75">
        <v>7500</v>
      </c>
      <c r="B445" s="46" t="str">
        <f t="shared" si="23"/>
        <v>6</v>
      </c>
      <c r="C445" s="75">
        <v>641</v>
      </c>
      <c r="D445" s="15" t="s">
        <v>126</v>
      </c>
      <c r="E445" s="265">
        <v>0</v>
      </c>
      <c r="F445" s="265">
        <v>0</v>
      </c>
      <c r="G445" s="265">
        <v>0</v>
      </c>
      <c r="H445" s="265">
        <v>0</v>
      </c>
      <c r="I445" s="54">
        <f t="shared" si="22"/>
        <v>0</v>
      </c>
    </row>
    <row r="446" spans="1:9" x14ac:dyDescent="0.25">
      <c r="A446" s="75">
        <v>7500</v>
      </c>
      <c r="B446" s="46" t="str">
        <f t="shared" si="23"/>
        <v>6</v>
      </c>
      <c r="C446" s="75">
        <v>642</v>
      </c>
      <c r="D446" s="15" t="s">
        <v>127</v>
      </c>
      <c r="E446" s="265">
        <v>0</v>
      </c>
      <c r="F446" s="265">
        <v>0</v>
      </c>
      <c r="G446" s="265">
        <v>0</v>
      </c>
      <c r="H446" s="265">
        <v>0</v>
      </c>
      <c r="I446" s="54">
        <f t="shared" si="22"/>
        <v>0</v>
      </c>
    </row>
    <row r="447" spans="1:9" x14ac:dyDescent="0.25">
      <c r="A447" s="75">
        <v>7500</v>
      </c>
      <c r="B447" s="46" t="str">
        <f t="shared" si="23"/>
        <v>6</v>
      </c>
      <c r="C447" s="75">
        <v>643</v>
      </c>
      <c r="D447" s="15" t="s">
        <v>128</v>
      </c>
      <c r="E447" s="265">
        <v>0</v>
      </c>
      <c r="F447" s="265">
        <v>0</v>
      </c>
      <c r="G447" s="265">
        <v>0</v>
      </c>
      <c r="H447" s="265">
        <v>0</v>
      </c>
      <c r="I447" s="54">
        <f t="shared" si="22"/>
        <v>0</v>
      </c>
    </row>
    <row r="448" spans="1:9" x14ac:dyDescent="0.25">
      <c r="A448" s="75">
        <v>7500</v>
      </c>
      <c r="B448" s="46" t="str">
        <f t="shared" si="23"/>
        <v>6</v>
      </c>
      <c r="C448" s="75">
        <v>644</v>
      </c>
      <c r="D448" s="15" t="s">
        <v>129</v>
      </c>
      <c r="E448" s="265">
        <v>0</v>
      </c>
      <c r="F448" s="265">
        <v>0</v>
      </c>
      <c r="G448" s="265">
        <v>0</v>
      </c>
      <c r="H448" s="265">
        <v>0</v>
      </c>
      <c r="I448" s="54">
        <f t="shared" si="22"/>
        <v>0</v>
      </c>
    </row>
    <row r="449" spans="1:9" x14ac:dyDescent="0.25">
      <c r="A449" s="75">
        <v>7500</v>
      </c>
      <c r="B449" s="46" t="str">
        <f t="shared" si="23"/>
        <v>6</v>
      </c>
      <c r="C449" s="75">
        <v>680</v>
      </c>
      <c r="D449" s="15" t="s">
        <v>130</v>
      </c>
      <c r="E449" s="265">
        <v>0</v>
      </c>
      <c r="F449" s="265">
        <v>0</v>
      </c>
      <c r="G449" s="265">
        <v>0</v>
      </c>
      <c r="H449" s="265">
        <v>0</v>
      </c>
      <c r="I449" s="54">
        <f t="shared" si="22"/>
        <v>0</v>
      </c>
    </row>
    <row r="450" spans="1:9" x14ac:dyDescent="0.25">
      <c r="A450" s="75">
        <v>7500</v>
      </c>
      <c r="B450" s="46" t="str">
        <f t="shared" si="23"/>
        <v>6</v>
      </c>
      <c r="C450" s="75">
        <v>690</v>
      </c>
      <c r="D450" s="15" t="s">
        <v>131</v>
      </c>
      <c r="E450" s="265">
        <v>0</v>
      </c>
      <c r="F450" s="265">
        <v>0</v>
      </c>
      <c r="G450" s="265">
        <v>0</v>
      </c>
      <c r="H450" s="265">
        <v>0</v>
      </c>
      <c r="I450" s="54">
        <f t="shared" si="22"/>
        <v>0</v>
      </c>
    </row>
    <row r="451" spans="1:9" x14ac:dyDescent="0.25">
      <c r="A451" s="75">
        <v>7500</v>
      </c>
      <c r="B451" s="46" t="str">
        <f t="shared" si="23"/>
        <v>7</v>
      </c>
      <c r="C451" s="75">
        <v>720</v>
      </c>
      <c r="D451" s="15" t="s">
        <v>132</v>
      </c>
      <c r="E451" s="265">
        <v>0</v>
      </c>
      <c r="F451" s="265">
        <v>0</v>
      </c>
      <c r="G451" s="265">
        <v>0</v>
      </c>
      <c r="H451" s="265">
        <v>0</v>
      </c>
      <c r="I451" s="54">
        <f t="shared" si="22"/>
        <v>0</v>
      </c>
    </row>
    <row r="452" spans="1:9" x14ac:dyDescent="0.25">
      <c r="A452" s="75">
        <v>7500</v>
      </c>
      <c r="B452" s="46" t="str">
        <f t="shared" si="23"/>
        <v>7</v>
      </c>
      <c r="C452" s="75">
        <v>730</v>
      </c>
      <c r="D452" s="15" t="s">
        <v>133</v>
      </c>
      <c r="E452" s="265">
        <v>0</v>
      </c>
      <c r="F452" s="265">
        <v>0</v>
      </c>
      <c r="G452" s="265">
        <v>0</v>
      </c>
      <c r="H452" s="265">
        <v>0</v>
      </c>
      <c r="I452" s="54">
        <f t="shared" si="22"/>
        <v>0</v>
      </c>
    </row>
    <row r="453" spans="1:9" ht="12.65" customHeight="1" x14ac:dyDescent="0.25">
      <c r="A453" s="75">
        <v>7500</v>
      </c>
      <c r="B453" s="46" t="str">
        <f t="shared" si="23"/>
        <v>7</v>
      </c>
      <c r="C453" s="75">
        <v>750</v>
      </c>
      <c r="D453" s="15" t="s">
        <v>134</v>
      </c>
      <c r="E453" s="265">
        <v>0</v>
      </c>
      <c r="F453" s="265">
        <v>0</v>
      </c>
      <c r="G453" s="265">
        <v>0</v>
      </c>
      <c r="H453" s="265">
        <v>0</v>
      </c>
      <c r="I453" s="54">
        <f t="shared" si="22"/>
        <v>0</v>
      </c>
    </row>
    <row r="454" spans="1:9" ht="12.65" customHeight="1" x14ac:dyDescent="0.25">
      <c r="A454" s="75">
        <v>7500</v>
      </c>
      <c r="B454" s="46" t="str">
        <f t="shared" si="23"/>
        <v>7</v>
      </c>
      <c r="C454" s="75">
        <v>790</v>
      </c>
      <c r="D454" s="15" t="s">
        <v>135</v>
      </c>
      <c r="E454" s="265">
        <v>0</v>
      </c>
      <c r="F454" s="265">
        <v>0</v>
      </c>
      <c r="G454" s="265">
        <v>0</v>
      </c>
      <c r="H454" s="265">
        <v>0</v>
      </c>
      <c r="I454" s="54">
        <f t="shared" si="22"/>
        <v>0</v>
      </c>
    </row>
    <row r="455" spans="1:9" ht="15.65" customHeight="1" x14ac:dyDescent="0.35">
      <c r="B455" s="46">
        <v>7500</v>
      </c>
      <c r="D455" s="76" t="s">
        <v>167</v>
      </c>
      <c r="E455" s="77">
        <f>SUM(E415:E454)</f>
        <v>28000</v>
      </c>
      <c r="F455" s="77">
        <f>SUM(F415:F454)</f>
        <v>0</v>
      </c>
      <c r="G455" s="77">
        <f>SUM(G415:G454)</f>
        <v>0</v>
      </c>
      <c r="H455" s="77">
        <f>SUM(H415:H454)</f>
        <v>0</v>
      </c>
      <c r="I455" s="77">
        <f>SUM(I415:I454)</f>
        <v>28000</v>
      </c>
    </row>
    <row r="456" spans="1:9" ht="18.649999999999999" customHeight="1" x14ac:dyDescent="0.45">
      <c r="A456" s="48" t="s">
        <v>160</v>
      </c>
      <c r="B456" s="49"/>
      <c r="C456" s="50"/>
      <c r="D456" s="50"/>
      <c r="E456" s="74"/>
      <c r="F456" s="74"/>
      <c r="G456" s="74"/>
      <c r="H456" s="74"/>
      <c r="I456" s="74"/>
    </row>
    <row r="457" spans="1:9" ht="12.65" customHeight="1" x14ac:dyDescent="0.25">
      <c r="A457" s="75">
        <v>7600</v>
      </c>
      <c r="B457" s="46" t="str">
        <f>LEFT(C457,1)</f>
        <v>1</v>
      </c>
      <c r="C457" s="75">
        <v>110</v>
      </c>
      <c r="D457" s="15" t="s">
        <v>102</v>
      </c>
      <c r="E457" s="265">
        <v>0</v>
      </c>
      <c r="F457" s="265">
        <v>0</v>
      </c>
      <c r="G457" s="265">
        <v>0</v>
      </c>
      <c r="H457" s="265">
        <v>0</v>
      </c>
      <c r="I457" s="54">
        <f t="shared" ref="I457:I496" si="24">SUM(E457:H457)</f>
        <v>0</v>
      </c>
    </row>
    <row r="458" spans="1:9" ht="12.65" customHeight="1" x14ac:dyDescent="0.25">
      <c r="A458" s="75">
        <v>7600</v>
      </c>
      <c r="B458" s="46" t="str">
        <f t="shared" ref="B458:B496" si="25">LEFT(C458,1)</f>
        <v>1</v>
      </c>
      <c r="C458" s="75">
        <v>120</v>
      </c>
      <c r="D458" s="15" t="s">
        <v>103</v>
      </c>
      <c r="E458" s="265">
        <v>0</v>
      </c>
      <c r="F458" s="265">
        <v>0</v>
      </c>
      <c r="G458" s="265">
        <v>0</v>
      </c>
      <c r="H458" s="265">
        <v>0</v>
      </c>
      <c r="I458" s="54">
        <f t="shared" si="24"/>
        <v>0</v>
      </c>
    </row>
    <row r="459" spans="1:9" ht="12.65" customHeight="1" x14ac:dyDescent="0.25">
      <c r="A459" s="75">
        <v>7600</v>
      </c>
      <c r="B459" s="46" t="str">
        <f t="shared" si="25"/>
        <v>1</v>
      </c>
      <c r="C459" s="75">
        <v>130</v>
      </c>
      <c r="D459" s="15" t="s">
        <v>104</v>
      </c>
      <c r="E459" s="265">
        <v>0</v>
      </c>
      <c r="F459" s="265">
        <v>0</v>
      </c>
      <c r="G459" s="265">
        <v>0</v>
      </c>
      <c r="H459" s="265">
        <v>0</v>
      </c>
      <c r="I459" s="54">
        <f t="shared" si="24"/>
        <v>0</v>
      </c>
    </row>
    <row r="460" spans="1:9" ht="12.65" customHeight="1" x14ac:dyDescent="0.25">
      <c r="A460" s="75">
        <v>7600</v>
      </c>
      <c r="B460" s="46" t="str">
        <f t="shared" si="25"/>
        <v>1</v>
      </c>
      <c r="C460" s="75">
        <v>140</v>
      </c>
      <c r="D460" s="15" t="s">
        <v>105</v>
      </c>
      <c r="E460" s="265">
        <v>0</v>
      </c>
      <c r="F460" s="265">
        <v>0</v>
      </c>
      <c r="G460" s="265">
        <v>0</v>
      </c>
      <c r="H460" s="265">
        <v>0</v>
      </c>
      <c r="I460" s="54">
        <f t="shared" si="24"/>
        <v>0</v>
      </c>
    </row>
    <row r="461" spans="1:9" ht="12.65" customHeight="1" x14ac:dyDescent="0.25">
      <c r="A461" s="75">
        <v>7600</v>
      </c>
      <c r="B461" s="46" t="str">
        <f t="shared" si="25"/>
        <v>1</v>
      </c>
      <c r="C461" s="75">
        <v>150</v>
      </c>
      <c r="D461" s="15" t="s">
        <v>106</v>
      </c>
      <c r="E461" s="265">
        <v>0</v>
      </c>
      <c r="F461" s="265">
        <v>0</v>
      </c>
      <c r="G461" s="265">
        <v>0</v>
      </c>
      <c r="H461" s="265">
        <v>0</v>
      </c>
      <c r="I461" s="54">
        <f t="shared" si="24"/>
        <v>0</v>
      </c>
    </row>
    <row r="462" spans="1:9" ht="12.65" customHeight="1" x14ac:dyDescent="0.25">
      <c r="A462" s="75">
        <v>7600</v>
      </c>
      <c r="B462" s="46" t="str">
        <f t="shared" si="25"/>
        <v>1</v>
      </c>
      <c r="C462" s="75">
        <v>160</v>
      </c>
      <c r="D462" s="15" t="s">
        <v>107</v>
      </c>
      <c r="E462" s="265">
        <v>0</v>
      </c>
      <c r="F462" s="265">
        <v>0</v>
      </c>
      <c r="G462" s="265">
        <v>0</v>
      </c>
      <c r="H462" s="265">
        <v>0</v>
      </c>
      <c r="I462" s="54">
        <f t="shared" si="24"/>
        <v>0</v>
      </c>
    </row>
    <row r="463" spans="1:9" ht="12.65" customHeight="1" x14ac:dyDescent="0.25">
      <c r="A463" s="75">
        <v>7600</v>
      </c>
      <c r="B463" s="46" t="str">
        <f t="shared" si="25"/>
        <v>2</v>
      </c>
      <c r="C463" s="75">
        <v>210</v>
      </c>
      <c r="D463" s="15" t="s">
        <v>108</v>
      </c>
      <c r="E463" s="265">
        <v>0</v>
      </c>
      <c r="F463" s="265">
        <v>0</v>
      </c>
      <c r="G463" s="265">
        <v>0</v>
      </c>
      <c r="H463" s="265">
        <v>0</v>
      </c>
      <c r="I463" s="54">
        <f t="shared" si="24"/>
        <v>0</v>
      </c>
    </row>
    <row r="464" spans="1:9" ht="12.65" customHeight="1" x14ac:dyDescent="0.25">
      <c r="A464" s="75">
        <v>7600</v>
      </c>
      <c r="B464" s="46" t="str">
        <f t="shared" si="25"/>
        <v>2</v>
      </c>
      <c r="C464" s="75">
        <v>220</v>
      </c>
      <c r="D464" s="15" t="s">
        <v>109</v>
      </c>
      <c r="E464" s="265">
        <v>0</v>
      </c>
      <c r="F464" s="265">
        <v>0</v>
      </c>
      <c r="G464" s="265">
        <v>0</v>
      </c>
      <c r="H464" s="265">
        <v>0</v>
      </c>
      <c r="I464" s="54">
        <f t="shared" si="24"/>
        <v>0</v>
      </c>
    </row>
    <row r="465" spans="1:9" x14ac:dyDescent="0.25">
      <c r="A465" s="75">
        <v>7600</v>
      </c>
      <c r="B465" s="46" t="str">
        <f t="shared" si="25"/>
        <v>2</v>
      </c>
      <c r="C465" s="75">
        <v>230</v>
      </c>
      <c r="D465" s="15" t="s">
        <v>110</v>
      </c>
      <c r="E465" s="265">
        <v>0</v>
      </c>
      <c r="F465" s="265">
        <v>0</v>
      </c>
      <c r="G465" s="265">
        <v>0</v>
      </c>
      <c r="H465" s="265">
        <v>0</v>
      </c>
      <c r="I465" s="54">
        <f t="shared" si="24"/>
        <v>0</v>
      </c>
    </row>
    <row r="466" spans="1:9" x14ac:dyDescent="0.25">
      <c r="A466" s="75">
        <v>7600</v>
      </c>
      <c r="B466" s="46" t="str">
        <f t="shared" si="25"/>
        <v>2</v>
      </c>
      <c r="C466" s="75">
        <v>240</v>
      </c>
      <c r="D466" s="15" t="s">
        <v>111</v>
      </c>
      <c r="E466" s="265">
        <v>0</v>
      </c>
      <c r="F466" s="265">
        <v>0</v>
      </c>
      <c r="G466" s="265">
        <v>0</v>
      </c>
      <c r="H466" s="265">
        <v>0</v>
      </c>
      <c r="I466" s="54">
        <f t="shared" si="24"/>
        <v>0</v>
      </c>
    </row>
    <row r="467" spans="1:9" x14ac:dyDescent="0.25">
      <c r="A467" s="75">
        <v>7600</v>
      </c>
      <c r="B467" s="46" t="str">
        <f t="shared" si="25"/>
        <v>2</v>
      </c>
      <c r="C467" s="75">
        <v>250</v>
      </c>
      <c r="D467" s="15" t="s">
        <v>112</v>
      </c>
      <c r="E467" s="265">
        <v>0</v>
      </c>
      <c r="F467" s="265">
        <v>0</v>
      </c>
      <c r="G467" s="265">
        <v>0</v>
      </c>
      <c r="H467" s="265">
        <v>0</v>
      </c>
      <c r="I467" s="54">
        <f t="shared" si="24"/>
        <v>0</v>
      </c>
    </row>
    <row r="468" spans="1:9" x14ac:dyDescent="0.25">
      <c r="A468" s="75">
        <v>7600</v>
      </c>
      <c r="B468" s="46" t="str">
        <f t="shared" si="25"/>
        <v>2</v>
      </c>
      <c r="C468" s="75">
        <v>290</v>
      </c>
      <c r="D468" s="15" t="s">
        <v>113</v>
      </c>
      <c r="E468" s="265">
        <v>0</v>
      </c>
      <c r="F468" s="265">
        <v>0</v>
      </c>
      <c r="G468" s="265">
        <v>0</v>
      </c>
      <c r="H468" s="265">
        <v>0</v>
      </c>
      <c r="I468" s="54">
        <f t="shared" si="24"/>
        <v>0</v>
      </c>
    </row>
    <row r="469" spans="1:9" x14ac:dyDescent="0.25">
      <c r="A469" s="75">
        <v>7600</v>
      </c>
      <c r="B469" s="46" t="str">
        <f t="shared" si="25"/>
        <v>3</v>
      </c>
      <c r="C469" s="75">
        <v>310</v>
      </c>
      <c r="D469" s="15" t="s">
        <v>114</v>
      </c>
      <c r="E469" s="265">
        <v>0</v>
      </c>
      <c r="F469" s="265">
        <v>15000</v>
      </c>
      <c r="G469" s="265">
        <v>0</v>
      </c>
      <c r="H469" s="265">
        <v>0</v>
      </c>
      <c r="I469" s="54">
        <f t="shared" si="24"/>
        <v>15000</v>
      </c>
    </row>
    <row r="470" spans="1:9" x14ac:dyDescent="0.25">
      <c r="A470" s="75">
        <v>7600</v>
      </c>
      <c r="B470" s="46" t="str">
        <f t="shared" si="25"/>
        <v>3</v>
      </c>
      <c r="C470" s="75">
        <v>320</v>
      </c>
      <c r="D470" s="15" t="s">
        <v>115</v>
      </c>
      <c r="E470" s="265">
        <v>0</v>
      </c>
      <c r="F470" s="265">
        <v>0</v>
      </c>
      <c r="G470" s="265">
        <v>0</v>
      </c>
      <c r="H470" s="265">
        <v>0</v>
      </c>
      <c r="I470" s="54">
        <f t="shared" si="24"/>
        <v>0</v>
      </c>
    </row>
    <row r="471" spans="1:9" x14ac:dyDescent="0.25">
      <c r="A471" s="75">
        <v>7600</v>
      </c>
      <c r="B471" s="46" t="str">
        <f t="shared" si="25"/>
        <v>3</v>
      </c>
      <c r="C471" s="75">
        <v>330</v>
      </c>
      <c r="D471" s="15" t="s">
        <v>84</v>
      </c>
      <c r="E471" s="265">
        <v>0</v>
      </c>
      <c r="F471" s="265">
        <v>0</v>
      </c>
      <c r="G471" s="265">
        <v>0</v>
      </c>
      <c r="H471" s="265">
        <v>0</v>
      </c>
      <c r="I471" s="54">
        <f t="shared" si="24"/>
        <v>0</v>
      </c>
    </row>
    <row r="472" spans="1:9" x14ac:dyDescent="0.25">
      <c r="A472" s="75">
        <v>7600</v>
      </c>
      <c r="B472" s="46" t="str">
        <f t="shared" si="25"/>
        <v>3</v>
      </c>
      <c r="C472" s="75">
        <v>350</v>
      </c>
      <c r="D472" s="15" t="s">
        <v>116</v>
      </c>
      <c r="E472" s="265">
        <v>0</v>
      </c>
      <c r="F472" s="265">
        <v>8000</v>
      </c>
      <c r="G472" s="265">
        <v>0</v>
      </c>
      <c r="H472" s="265">
        <v>0</v>
      </c>
      <c r="I472" s="54">
        <f t="shared" si="24"/>
        <v>8000</v>
      </c>
    </row>
    <row r="473" spans="1:9" x14ac:dyDescent="0.25">
      <c r="A473" s="75">
        <v>7600</v>
      </c>
      <c r="B473" s="46" t="str">
        <f t="shared" si="25"/>
        <v>3</v>
      </c>
      <c r="C473" s="75">
        <v>360</v>
      </c>
      <c r="D473" s="15" t="s">
        <v>92</v>
      </c>
      <c r="E473" s="265">
        <v>0</v>
      </c>
      <c r="F473" s="265">
        <v>0</v>
      </c>
      <c r="G473" s="265">
        <v>0</v>
      </c>
      <c r="H473" s="265">
        <v>0</v>
      </c>
      <c r="I473" s="54">
        <f t="shared" si="24"/>
        <v>0</v>
      </c>
    </row>
    <row r="474" spans="1:9" x14ac:dyDescent="0.25">
      <c r="A474" s="75">
        <v>7600</v>
      </c>
      <c r="B474" s="46" t="str">
        <f t="shared" si="25"/>
        <v>3</v>
      </c>
      <c r="C474" s="75">
        <v>370</v>
      </c>
      <c r="D474" s="15" t="s">
        <v>93</v>
      </c>
      <c r="E474" s="265">
        <v>0</v>
      </c>
      <c r="F474" s="265">
        <v>0</v>
      </c>
      <c r="G474" s="265">
        <v>0</v>
      </c>
      <c r="H474" s="265">
        <v>0</v>
      </c>
      <c r="I474" s="54">
        <f t="shared" si="24"/>
        <v>0</v>
      </c>
    </row>
    <row r="475" spans="1:9" x14ac:dyDescent="0.25">
      <c r="A475" s="75">
        <v>7600</v>
      </c>
      <c r="B475" s="46" t="str">
        <f t="shared" si="25"/>
        <v>3</v>
      </c>
      <c r="C475" s="75">
        <v>380</v>
      </c>
      <c r="D475" s="15" t="s">
        <v>117</v>
      </c>
      <c r="E475" s="265">
        <v>0</v>
      </c>
      <c r="F475" s="265">
        <v>0</v>
      </c>
      <c r="G475" s="265">
        <v>0</v>
      </c>
      <c r="H475" s="265">
        <v>0</v>
      </c>
      <c r="I475" s="54">
        <f t="shared" si="24"/>
        <v>0</v>
      </c>
    </row>
    <row r="476" spans="1:9" x14ac:dyDescent="0.25">
      <c r="A476" s="75">
        <v>7600</v>
      </c>
      <c r="B476" s="46" t="str">
        <f t="shared" si="25"/>
        <v>3</v>
      </c>
      <c r="C476" s="75">
        <v>390</v>
      </c>
      <c r="D476" s="15" t="s">
        <v>118</v>
      </c>
      <c r="E476" s="265">
        <v>0</v>
      </c>
      <c r="F476" s="265">
        <v>0</v>
      </c>
      <c r="G476" s="265">
        <v>0</v>
      </c>
      <c r="H476" s="265">
        <v>0</v>
      </c>
      <c r="I476" s="54">
        <f t="shared" si="24"/>
        <v>0</v>
      </c>
    </row>
    <row r="477" spans="1:9" x14ac:dyDescent="0.25">
      <c r="A477" s="75">
        <v>7600</v>
      </c>
      <c r="B477" s="46" t="str">
        <f t="shared" si="25"/>
        <v>4</v>
      </c>
      <c r="C477" s="75">
        <v>430</v>
      </c>
      <c r="D477" s="15" t="s">
        <v>119</v>
      </c>
      <c r="E477" s="265">
        <v>0</v>
      </c>
      <c r="F477" s="265">
        <v>0</v>
      </c>
      <c r="G477" s="265">
        <v>0</v>
      </c>
      <c r="H477" s="265">
        <v>0</v>
      </c>
      <c r="I477" s="54">
        <f t="shared" si="24"/>
        <v>0</v>
      </c>
    </row>
    <row r="478" spans="1:9" x14ac:dyDescent="0.25">
      <c r="A478" s="75">
        <v>7600</v>
      </c>
      <c r="B478" s="46" t="str">
        <f t="shared" si="25"/>
        <v>5</v>
      </c>
      <c r="C478" s="75">
        <v>510</v>
      </c>
      <c r="D478" s="15" t="s">
        <v>94</v>
      </c>
      <c r="E478" s="265">
        <v>0</v>
      </c>
      <c r="F478" s="265">
        <v>0</v>
      </c>
      <c r="G478" s="265">
        <v>0</v>
      </c>
      <c r="H478" s="265">
        <v>0</v>
      </c>
      <c r="I478" s="54">
        <f t="shared" si="24"/>
        <v>0</v>
      </c>
    </row>
    <row r="479" spans="1:9" x14ac:dyDescent="0.25">
      <c r="A479" s="75">
        <v>7600</v>
      </c>
      <c r="B479" s="46" t="str">
        <f t="shared" si="25"/>
        <v>5</v>
      </c>
      <c r="C479" s="75">
        <v>520</v>
      </c>
      <c r="D479" s="15" t="s">
        <v>95</v>
      </c>
      <c r="E479" s="265">
        <v>0</v>
      </c>
      <c r="F479" s="265">
        <v>0</v>
      </c>
      <c r="G479" s="265">
        <v>0</v>
      </c>
      <c r="H479" s="265">
        <v>0</v>
      </c>
      <c r="I479" s="54">
        <f t="shared" si="24"/>
        <v>0</v>
      </c>
    </row>
    <row r="480" spans="1:9" x14ac:dyDescent="0.25">
      <c r="A480" s="75">
        <v>7600</v>
      </c>
      <c r="B480" s="46" t="str">
        <f t="shared" si="25"/>
        <v>5</v>
      </c>
      <c r="C480" s="75">
        <v>530</v>
      </c>
      <c r="D480" s="15" t="s">
        <v>120</v>
      </c>
      <c r="E480" s="265">
        <v>0</v>
      </c>
      <c r="F480" s="265">
        <v>0</v>
      </c>
      <c r="G480" s="265">
        <v>0</v>
      </c>
      <c r="H480" s="265">
        <v>0</v>
      </c>
      <c r="I480" s="54">
        <f t="shared" si="24"/>
        <v>0</v>
      </c>
    </row>
    <row r="481" spans="1:9" x14ac:dyDescent="0.25">
      <c r="A481" s="75">
        <v>7600</v>
      </c>
      <c r="B481" s="46" t="str">
        <f t="shared" si="25"/>
        <v>5</v>
      </c>
      <c r="C481" s="75">
        <v>570</v>
      </c>
      <c r="D481" s="15" t="s">
        <v>85</v>
      </c>
      <c r="E481" s="265">
        <v>0</v>
      </c>
      <c r="F481" s="265">
        <v>170000</v>
      </c>
      <c r="G481" s="265">
        <v>0</v>
      </c>
      <c r="H481" s="265">
        <v>0</v>
      </c>
      <c r="I481" s="54">
        <f t="shared" si="24"/>
        <v>170000</v>
      </c>
    </row>
    <row r="482" spans="1:9" x14ac:dyDescent="0.25">
      <c r="A482" s="75">
        <v>7600</v>
      </c>
      <c r="B482" s="46" t="str">
        <f t="shared" si="25"/>
        <v>5</v>
      </c>
      <c r="C482" s="75">
        <v>590</v>
      </c>
      <c r="D482" s="15" t="s">
        <v>121</v>
      </c>
      <c r="E482" s="265">
        <v>0</v>
      </c>
      <c r="F482" s="265">
        <v>0</v>
      </c>
      <c r="G482" s="265">
        <v>0</v>
      </c>
      <c r="H482" s="265">
        <v>0</v>
      </c>
      <c r="I482" s="54">
        <f t="shared" si="24"/>
        <v>0</v>
      </c>
    </row>
    <row r="483" spans="1:9" x14ac:dyDescent="0.25">
      <c r="A483" s="75">
        <v>7600</v>
      </c>
      <c r="B483" s="46" t="str">
        <f t="shared" si="25"/>
        <v>6</v>
      </c>
      <c r="C483" s="75">
        <v>610</v>
      </c>
      <c r="D483" s="15" t="s">
        <v>122</v>
      </c>
      <c r="E483" s="265">
        <v>0</v>
      </c>
      <c r="F483" s="265">
        <v>0</v>
      </c>
      <c r="G483" s="265">
        <v>0</v>
      </c>
      <c r="H483" s="265">
        <v>0</v>
      </c>
      <c r="I483" s="54">
        <f t="shared" si="24"/>
        <v>0</v>
      </c>
    </row>
    <row r="484" spans="1:9" x14ac:dyDescent="0.25">
      <c r="A484" s="75">
        <v>7600</v>
      </c>
      <c r="B484" s="46" t="str">
        <f t="shared" si="25"/>
        <v>6</v>
      </c>
      <c r="C484" s="75">
        <v>621</v>
      </c>
      <c r="D484" s="15" t="s">
        <v>123</v>
      </c>
      <c r="E484" s="265">
        <v>0</v>
      </c>
      <c r="F484" s="265">
        <v>0</v>
      </c>
      <c r="G484" s="265">
        <v>0</v>
      </c>
      <c r="H484" s="265">
        <v>0</v>
      </c>
      <c r="I484" s="54">
        <f t="shared" si="24"/>
        <v>0</v>
      </c>
    </row>
    <row r="485" spans="1:9" x14ac:dyDescent="0.25">
      <c r="A485" s="75">
        <v>7600</v>
      </c>
      <c r="B485" s="46" t="str">
        <f t="shared" si="25"/>
        <v>6</v>
      </c>
      <c r="C485" s="75">
        <v>622</v>
      </c>
      <c r="D485" s="15" t="s">
        <v>124</v>
      </c>
      <c r="E485" s="265">
        <v>0</v>
      </c>
      <c r="F485" s="265">
        <v>0</v>
      </c>
      <c r="G485" s="265">
        <v>0</v>
      </c>
      <c r="H485" s="265">
        <v>0</v>
      </c>
      <c r="I485" s="54">
        <f t="shared" si="24"/>
        <v>0</v>
      </c>
    </row>
    <row r="486" spans="1:9" x14ac:dyDescent="0.25">
      <c r="A486" s="75">
        <v>7600</v>
      </c>
      <c r="B486" s="46" t="str">
        <f t="shared" si="25"/>
        <v>6</v>
      </c>
      <c r="C486" s="75">
        <v>630</v>
      </c>
      <c r="D486" s="15" t="s">
        <v>125</v>
      </c>
      <c r="E486" s="265">
        <v>0</v>
      </c>
      <c r="F486" s="265">
        <v>0</v>
      </c>
      <c r="G486" s="265">
        <v>0</v>
      </c>
      <c r="H486" s="265">
        <v>0</v>
      </c>
      <c r="I486" s="54">
        <f t="shared" si="24"/>
        <v>0</v>
      </c>
    </row>
    <row r="487" spans="1:9" x14ac:dyDescent="0.25">
      <c r="A487" s="75">
        <v>7600</v>
      </c>
      <c r="B487" s="46" t="str">
        <f t="shared" si="25"/>
        <v>6</v>
      </c>
      <c r="C487" s="75">
        <v>641</v>
      </c>
      <c r="D487" s="15" t="s">
        <v>126</v>
      </c>
      <c r="E487" s="265">
        <v>0</v>
      </c>
      <c r="F487" s="265">
        <v>0</v>
      </c>
      <c r="G487" s="265">
        <v>0</v>
      </c>
      <c r="H487" s="265">
        <v>0</v>
      </c>
      <c r="I487" s="54">
        <f t="shared" si="24"/>
        <v>0</v>
      </c>
    </row>
    <row r="488" spans="1:9" x14ac:dyDescent="0.25">
      <c r="A488" s="75">
        <v>7600</v>
      </c>
      <c r="B488" s="46" t="str">
        <f t="shared" si="25"/>
        <v>6</v>
      </c>
      <c r="C488" s="75">
        <v>642</v>
      </c>
      <c r="D488" s="15" t="s">
        <v>127</v>
      </c>
      <c r="E488" s="265">
        <v>0</v>
      </c>
      <c r="F488" s="265">
        <v>0</v>
      </c>
      <c r="G488" s="265">
        <v>0</v>
      </c>
      <c r="H488" s="265">
        <v>0</v>
      </c>
      <c r="I488" s="54">
        <f t="shared" si="24"/>
        <v>0</v>
      </c>
    </row>
    <row r="489" spans="1:9" x14ac:dyDescent="0.25">
      <c r="A489" s="75">
        <v>7600</v>
      </c>
      <c r="B489" s="46" t="str">
        <f t="shared" si="25"/>
        <v>6</v>
      </c>
      <c r="C489" s="75">
        <v>643</v>
      </c>
      <c r="D489" s="15" t="s">
        <v>128</v>
      </c>
      <c r="E489" s="265">
        <v>0</v>
      </c>
      <c r="F489" s="265">
        <v>0</v>
      </c>
      <c r="G489" s="265">
        <v>0</v>
      </c>
      <c r="H489" s="265">
        <v>0</v>
      </c>
      <c r="I489" s="54">
        <f t="shared" si="24"/>
        <v>0</v>
      </c>
    </row>
    <row r="490" spans="1:9" x14ac:dyDescent="0.25">
      <c r="A490" s="75">
        <v>7600</v>
      </c>
      <c r="B490" s="46" t="str">
        <f t="shared" si="25"/>
        <v>6</v>
      </c>
      <c r="C490" s="75">
        <v>644</v>
      </c>
      <c r="D490" s="15" t="s">
        <v>129</v>
      </c>
      <c r="E490" s="265">
        <v>0</v>
      </c>
      <c r="F490" s="265">
        <v>0</v>
      </c>
      <c r="G490" s="265">
        <v>0</v>
      </c>
      <c r="H490" s="265">
        <v>0</v>
      </c>
      <c r="I490" s="54">
        <f t="shared" si="24"/>
        <v>0</v>
      </c>
    </row>
    <row r="491" spans="1:9" x14ac:dyDescent="0.25">
      <c r="A491" s="75">
        <v>7600</v>
      </c>
      <c r="B491" s="46" t="str">
        <f t="shared" si="25"/>
        <v>6</v>
      </c>
      <c r="C491" s="75">
        <v>680</v>
      </c>
      <c r="D491" s="15" t="s">
        <v>130</v>
      </c>
      <c r="E491" s="265">
        <v>0</v>
      </c>
      <c r="F491" s="265">
        <v>0</v>
      </c>
      <c r="G491" s="265">
        <v>0</v>
      </c>
      <c r="H491" s="265">
        <v>0</v>
      </c>
      <c r="I491" s="54">
        <f t="shared" si="24"/>
        <v>0</v>
      </c>
    </row>
    <row r="492" spans="1:9" x14ac:dyDescent="0.25">
      <c r="A492" s="75">
        <v>7600</v>
      </c>
      <c r="B492" s="46" t="str">
        <f t="shared" si="25"/>
        <v>6</v>
      </c>
      <c r="C492" s="75">
        <v>690</v>
      </c>
      <c r="D492" s="15" t="s">
        <v>131</v>
      </c>
      <c r="E492" s="265">
        <v>0</v>
      </c>
      <c r="F492" s="265">
        <v>0</v>
      </c>
      <c r="G492" s="265">
        <v>0</v>
      </c>
      <c r="H492" s="265">
        <v>0</v>
      </c>
      <c r="I492" s="54">
        <f t="shared" si="24"/>
        <v>0</v>
      </c>
    </row>
    <row r="493" spans="1:9" x14ac:dyDescent="0.25">
      <c r="A493" s="75">
        <v>7600</v>
      </c>
      <c r="B493" s="46" t="str">
        <f t="shared" si="25"/>
        <v>7</v>
      </c>
      <c r="C493" s="75">
        <v>720</v>
      </c>
      <c r="D493" s="15" t="s">
        <v>132</v>
      </c>
      <c r="E493" s="265">
        <v>0</v>
      </c>
      <c r="F493" s="265">
        <v>0</v>
      </c>
      <c r="G493" s="265">
        <v>0</v>
      </c>
      <c r="H493" s="265">
        <v>0</v>
      </c>
      <c r="I493" s="54">
        <f t="shared" si="24"/>
        <v>0</v>
      </c>
    </row>
    <row r="494" spans="1:9" x14ac:dyDescent="0.25">
      <c r="A494" s="75">
        <v>7600</v>
      </c>
      <c r="B494" s="46" t="str">
        <f t="shared" si="25"/>
        <v>7</v>
      </c>
      <c r="C494" s="75">
        <v>730</v>
      </c>
      <c r="D494" s="15" t="s">
        <v>133</v>
      </c>
      <c r="E494" s="265">
        <v>0</v>
      </c>
      <c r="F494" s="265">
        <v>0</v>
      </c>
      <c r="G494" s="265">
        <v>0</v>
      </c>
      <c r="H494" s="265">
        <v>0</v>
      </c>
      <c r="I494" s="54">
        <f t="shared" si="24"/>
        <v>0</v>
      </c>
    </row>
    <row r="495" spans="1:9" ht="12.65" customHeight="1" x14ac:dyDescent="0.25">
      <c r="A495" s="75">
        <v>7600</v>
      </c>
      <c r="B495" s="46" t="str">
        <f t="shared" si="25"/>
        <v>7</v>
      </c>
      <c r="C495" s="75">
        <v>750</v>
      </c>
      <c r="D495" s="15" t="s">
        <v>134</v>
      </c>
      <c r="E495" s="265">
        <v>0</v>
      </c>
      <c r="F495" s="265">
        <v>0</v>
      </c>
      <c r="G495" s="265">
        <v>0</v>
      </c>
      <c r="H495" s="265">
        <v>0</v>
      </c>
      <c r="I495" s="54">
        <f t="shared" si="24"/>
        <v>0</v>
      </c>
    </row>
    <row r="496" spans="1:9" ht="12.65" customHeight="1" x14ac:dyDescent="0.25">
      <c r="A496" s="75">
        <v>7600</v>
      </c>
      <c r="B496" s="46" t="str">
        <f t="shared" si="25"/>
        <v>7</v>
      </c>
      <c r="C496" s="75">
        <v>790</v>
      </c>
      <c r="D496" s="15" t="s">
        <v>135</v>
      </c>
      <c r="E496" s="265">
        <v>0</v>
      </c>
      <c r="F496" s="265">
        <v>0</v>
      </c>
      <c r="G496" s="265">
        <v>0</v>
      </c>
      <c r="H496" s="265">
        <v>0</v>
      </c>
      <c r="I496" s="54">
        <f t="shared" si="24"/>
        <v>0</v>
      </c>
    </row>
    <row r="497" spans="1:9" ht="15.65" customHeight="1" x14ac:dyDescent="0.35">
      <c r="B497" s="46">
        <v>7600</v>
      </c>
      <c r="D497" s="76" t="s">
        <v>168</v>
      </c>
      <c r="E497" s="77">
        <f>SUM(E457:E496)</f>
        <v>0</v>
      </c>
      <c r="F497" s="77">
        <f>SUM(F457:F496)</f>
        <v>193000</v>
      </c>
      <c r="G497" s="77">
        <f>SUM(G457:G496)</f>
        <v>0</v>
      </c>
      <c r="H497" s="77">
        <f>SUM(H457:H496)</f>
        <v>0</v>
      </c>
      <c r="I497" s="77">
        <f>SUM(I457:I496)</f>
        <v>193000</v>
      </c>
    </row>
    <row r="498" spans="1:9" ht="18.649999999999999" customHeight="1" x14ac:dyDescent="0.45">
      <c r="A498" s="48" t="s">
        <v>181</v>
      </c>
      <c r="B498" s="49"/>
      <c r="C498" s="50"/>
      <c r="D498" s="50"/>
      <c r="E498" s="74"/>
      <c r="F498" s="74"/>
      <c r="G498" s="74"/>
      <c r="H498" s="74"/>
      <c r="I498" s="74"/>
    </row>
    <row r="499" spans="1:9" ht="12.65" customHeight="1" x14ac:dyDescent="0.25">
      <c r="A499" s="75">
        <v>7700</v>
      </c>
      <c r="B499" s="46" t="str">
        <f>LEFT(C499,1)</f>
        <v>1</v>
      </c>
      <c r="C499" s="75">
        <v>110</v>
      </c>
      <c r="D499" s="15" t="s">
        <v>102</v>
      </c>
      <c r="E499" s="265">
        <v>0</v>
      </c>
      <c r="F499" s="265">
        <v>0</v>
      </c>
      <c r="G499" s="265">
        <v>0</v>
      </c>
      <c r="H499" s="265">
        <v>0</v>
      </c>
      <c r="I499" s="54">
        <f t="shared" ref="I499:I538" si="26">SUM(E499:H499)</f>
        <v>0</v>
      </c>
    </row>
    <row r="500" spans="1:9" ht="12.65" customHeight="1" x14ac:dyDescent="0.25">
      <c r="A500" s="75">
        <v>7700</v>
      </c>
      <c r="B500" s="46" t="str">
        <f t="shared" ref="B500:B538" si="27">LEFT(C500,1)</f>
        <v>1</v>
      </c>
      <c r="C500" s="75">
        <v>120</v>
      </c>
      <c r="D500" s="15" t="s">
        <v>103</v>
      </c>
      <c r="E500" s="265">
        <v>0</v>
      </c>
      <c r="F500" s="265">
        <v>0</v>
      </c>
      <c r="G500" s="265">
        <v>0</v>
      </c>
      <c r="H500" s="265">
        <v>0</v>
      </c>
      <c r="I500" s="54">
        <f t="shared" si="26"/>
        <v>0</v>
      </c>
    </row>
    <row r="501" spans="1:9" ht="12.65" customHeight="1" x14ac:dyDescent="0.25">
      <c r="A501" s="75">
        <v>7700</v>
      </c>
      <c r="B501" s="46" t="str">
        <f t="shared" si="27"/>
        <v>1</v>
      </c>
      <c r="C501" s="75">
        <v>130</v>
      </c>
      <c r="D501" s="15" t="s">
        <v>104</v>
      </c>
      <c r="E501" s="265">
        <v>0</v>
      </c>
      <c r="F501" s="265">
        <v>0</v>
      </c>
      <c r="G501" s="265">
        <v>0</v>
      </c>
      <c r="H501" s="265">
        <v>0</v>
      </c>
      <c r="I501" s="54">
        <f t="shared" si="26"/>
        <v>0</v>
      </c>
    </row>
    <row r="502" spans="1:9" ht="12.65" customHeight="1" x14ac:dyDescent="0.25">
      <c r="A502" s="75">
        <v>7700</v>
      </c>
      <c r="B502" s="46" t="str">
        <f t="shared" si="27"/>
        <v>1</v>
      </c>
      <c r="C502" s="75">
        <v>140</v>
      </c>
      <c r="D502" s="15" t="s">
        <v>105</v>
      </c>
      <c r="E502" s="265">
        <v>0</v>
      </c>
      <c r="F502" s="265">
        <v>0</v>
      </c>
      <c r="G502" s="265">
        <v>0</v>
      </c>
      <c r="H502" s="265">
        <v>0</v>
      </c>
      <c r="I502" s="54">
        <f t="shared" si="26"/>
        <v>0</v>
      </c>
    </row>
    <row r="503" spans="1:9" ht="12.65" customHeight="1" x14ac:dyDescent="0.25">
      <c r="A503" s="75">
        <v>7700</v>
      </c>
      <c r="B503" s="46" t="str">
        <f t="shared" si="27"/>
        <v>1</v>
      </c>
      <c r="C503" s="75">
        <v>150</v>
      </c>
      <c r="D503" s="15" t="s">
        <v>106</v>
      </c>
      <c r="E503" s="265">
        <v>0</v>
      </c>
      <c r="F503" s="265">
        <v>0</v>
      </c>
      <c r="G503" s="265">
        <v>0</v>
      </c>
      <c r="H503" s="265">
        <v>0</v>
      </c>
      <c r="I503" s="54">
        <f t="shared" si="26"/>
        <v>0</v>
      </c>
    </row>
    <row r="504" spans="1:9" ht="12.65" customHeight="1" x14ac:dyDescent="0.25">
      <c r="A504" s="75">
        <v>7700</v>
      </c>
      <c r="B504" s="46" t="str">
        <f t="shared" si="27"/>
        <v>1</v>
      </c>
      <c r="C504" s="75">
        <v>160</v>
      </c>
      <c r="D504" s="15" t="s">
        <v>107</v>
      </c>
      <c r="E504" s="265">
        <v>0</v>
      </c>
      <c r="F504" s="265">
        <v>0</v>
      </c>
      <c r="G504" s="265">
        <v>0</v>
      </c>
      <c r="H504" s="265">
        <v>0</v>
      </c>
      <c r="I504" s="54">
        <f t="shared" si="26"/>
        <v>0</v>
      </c>
    </row>
    <row r="505" spans="1:9" ht="12.65" customHeight="1" x14ac:dyDescent="0.25">
      <c r="A505" s="75">
        <v>7700</v>
      </c>
      <c r="B505" s="46" t="str">
        <f t="shared" si="27"/>
        <v>2</v>
      </c>
      <c r="C505" s="75">
        <v>210</v>
      </c>
      <c r="D505" s="15" t="s">
        <v>108</v>
      </c>
      <c r="E505" s="265">
        <v>0</v>
      </c>
      <c r="F505" s="265">
        <v>0</v>
      </c>
      <c r="G505" s="265">
        <v>0</v>
      </c>
      <c r="H505" s="265">
        <v>0</v>
      </c>
      <c r="I505" s="54">
        <f t="shared" si="26"/>
        <v>0</v>
      </c>
    </row>
    <row r="506" spans="1:9" ht="12.65" customHeight="1" x14ac:dyDescent="0.25">
      <c r="A506" s="75">
        <v>7700</v>
      </c>
      <c r="B506" s="46" t="str">
        <f t="shared" si="27"/>
        <v>2</v>
      </c>
      <c r="C506" s="75">
        <v>220</v>
      </c>
      <c r="D506" s="15" t="s">
        <v>109</v>
      </c>
      <c r="E506" s="265">
        <v>0</v>
      </c>
      <c r="F506" s="265">
        <v>0</v>
      </c>
      <c r="G506" s="265">
        <v>0</v>
      </c>
      <c r="H506" s="265">
        <v>0</v>
      </c>
      <c r="I506" s="54">
        <f t="shared" si="26"/>
        <v>0</v>
      </c>
    </row>
    <row r="507" spans="1:9" x14ac:dyDescent="0.25">
      <c r="A507" s="75">
        <v>7700</v>
      </c>
      <c r="B507" s="46" t="str">
        <f t="shared" si="27"/>
        <v>2</v>
      </c>
      <c r="C507" s="75">
        <v>230</v>
      </c>
      <c r="D507" s="15" t="s">
        <v>110</v>
      </c>
      <c r="E507" s="265">
        <v>0</v>
      </c>
      <c r="F507" s="265">
        <v>0</v>
      </c>
      <c r="G507" s="265">
        <v>0</v>
      </c>
      <c r="H507" s="265">
        <v>0</v>
      </c>
      <c r="I507" s="54">
        <f t="shared" si="26"/>
        <v>0</v>
      </c>
    </row>
    <row r="508" spans="1:9" x14ac:dyDescent="0.25">
      <c r="A508" s="75">
        <v>7700</v>
      </c>
      <c r="B508" s="46" t="str">
        <f t="shared" si="27"/>
        <v>2</v>
      </c>
      <c r="C508" s="75">
        <v>240</v>
      </c>
      <c r="D508" s="15" t="s">
        <v>111</v>
      </c>
      <c r="E508" s="265">
        <v>0</v>
      </c>
      <c r="F508" s="265">
        <v>0</v>
      </c>
      <c r="G508" s="265">
        <v>0</v>
      </c>
      <c r="H508" s="265">
        <v>0</v>
      </c>
      <c r="I508" s="54">
        <f t="shared" si="26"/>
        <v>0</v>
      </c>
    </row>
    <row r="509" spans="1:9" x14ac:dyDescent="0.25">
      <c r="A509" s="75">
        <v>7700</v>
      </c>
      <c r="B509" s="46" t="str">
        <f t="shared" si="27"/>
        <v>2</v>
      </c>
      <c r="C509" s="75">
        <v>250</v>
      </c>
      <c r="D509" s="15" t="s">
        <v>112</v>
      </c>
      <c r="E509" s="265">
        <v>0</v>
      </c>
      <c r="F509" s="265">
        <v>0</v>
      </c>
      <c r="G509" s="265">
        <v>0</v>
      </c>
      <c r="H509" s="265">
        <v>0</v>
      </c>
      <c r="I509" s="54">
        <f t="shared" si="26"/>
        <v>0</v>
      </c>
    </row>
    <row r="510" spans="1:9" x14ac:dyDescent="0.25">
      <c r="A510" s="75">
        <v>7700</v>
      </c>
      <c r="B510" s="46" t="str">
        <f t="shared" si="27"/>
        <v>2</v>
      </c>
      <c r="C510" s="75">
        <v>290</v>
      </c>
      <c r="D510" s="15" t="s">
        <v>113</v>
      </c>
      <c r="E510" s="265">
        <v>0</v>
      </c>
      <c r="F510" s="265">
        <v>0</v>
      </c>
      <c r="G510" s="265">
        <v>0</v>
      </c>
      <c r="H510" s="265">
        <v>0</v>
      </c>
      <c r="I510" s="54">
        <f t="shared" si="26"/>
        <v>0</v>
      </c>
    </row>
    <row r="511" spans="1:9" x14ac:dyDescent="0.25">
      <c r="A511" s="75">
        <v>7700</v>
      </c>
      <c r="B511" s="46" t="str">
        <f t="shared" si="27"/>
        <v>3</v>
      </c>
      <c r="C511" s="75">
        <v>310</v>
      </c>
      <c r="D511" s="15" t="s">
        <v>114</v>
      </c>
      <c r="E511" s="265">
        <v>0</v>
      </c>
      <c r="F511" s="265">
        <v>0</v>
      </c>
      <c r="G511" s="265">
        <v>0</v>
      </c>
      <c r="H511" s="265">
        <v>0</v>
      </c>
      <c r="I511" s="54">
        <f t="shared" si="26"/>
        <v>0</v>
      </c>
    </row>
    <row r="512" spans="1:9" x14ac:dyDescent="0.25">
      <c r="A512" s="75">
        <v>7700</v>
      </c>
      <c r="B512" s="46" t="str">
        <f t="shared" si="27"/>
        <v>3</v>
      </c>
      <c r="C512" s="75">
        <v>320</v>
      </c>
      <c r="D512" s="15" t="s">
        <v>115</v>
      </c>
      <c r="E512" s="265">
        <v>0</v>
      </c>
      <c r="F512" s="265">
        <v>0</v>
      </c>
      <c r="G512" s="265">
        <v>0</v>
      </c>
      <c r="H512" s="265">
        <v>0</v>
      </c>
      <c r="I512" s="54">
        <f t="shared" si="26"/>
        <v>0</v>
      </c>
    </row>
    <row r="513" spans="1:9" x14ac:dyDescent="0.25">
      <c r="A513" s="75">
        <v>7700</v>
      </c>
      <c r="B513" s="46" t="str">
        <f t="shared" si="27"/>
        <v>3</v>
      </c>
      <c r="C513" s="75">
        <v>330</v>
      </c>
      <c r="D513" s="15" t="s">
        <v>84</v>
      </c>
      <c r="E513" s="265">
        <v>0</v>
      </c>
      <c r="F513" s="265">
        <v>0</v>
      </c>
      <c r="G513" s="265">
        <v>0</v>
      </c>
      <c r="H513" s="265">
        <v>0</v>
      </c>
      <c r="I513" s="54">
        <f t="shared" si="26"/>
        <v>0</v>
      </c>
    </row>
    <row r="514" spans="1:9" x14ac:dyDescent="0.25">
      <c r="A514" s="75">
        <v>7700</v>
      </c>
      <c r="B514" s="46" t="str">
        <f t="shared" si="27"/>
        <v>3</v>
      </c>
      <c r="C514" s="75">
        <v>350</v>
      </c>
      <c r="D514" s="15" t="s">
        <v>116</v>
      </c>
      <c r="E514" s="265">
        <v>0</v>
      </c>
      <c r="F514" s="265">
        <v>0</v>
      </c>
      <c r="G514" s="265">
        <v>0</v>
      </c>
      <c r="H514" s="265">
        <v>0</v>
      </c>
      <c r="I514" s="54">
        <f t="shared" si="26"/>
        <v>0</v>
      </c>
    </row>
    <row r="515" spans="1:9" x14ac:dyDescent="0.25">
      <c r="A515" s="75">
        <v>7700</v>
      </c>
      <c r="B515" s="46" t="str">
        <f t="shared" si="27"/>
        <v>3</v>
      </c>
      <c r="C515" s="75">
        <v>360</v>
      </c>
      <c r="D515" s="15" t="s">
        <v>92</v>
      </c>
      <c r="E515" s="265">
        <v>0</v>
      </c>
      <c r="F515" s="265">
        <v>0</v>
      </c>
      <c r="G515" s="265">
        <v>0</v>
      </c>
      <c r="H515" s="265">
        <v>0</v>
      </c>
      <c r="I515" s="54">
        <f t="shared" si="26"/>
        <v>0</v>
      </c>
    </row>
    <row r="516" spans="1:9" x14ac:dyDescent="0.25">
      <c r="A516" s="75">
        <v>7700</v>
      </c>
      <c r="B516" s="46" t="str">
        <f t="shared" si="27"/>
        <v>3</v>
      </c>
      <c r="C516" s="75">
        <v>370</v>
      </c>
      <c r="D516" s="15" t="s">
        <v>93</v>
      </c>
      <c r="E516" s="265">
        <v>0</v>
      </c>
      <c r="F516" s="265">
        <v>0</v>
      </c>
      <c r="G516" s="265">
        <v>0</v>
      </c>
      <c r="H516" s="265">
        <v>0</v>
      </c>
      <c r="I516" s="54">
        <f t="shared" si="26"/>
        <v>0</v>
      </c>
    </row>
    <row r="517" spans="1:9" x14ac:dyDescent="0.25">
      <c r="A517" s="75">
        <v>7700</v>
      </c>
      <c r="B517" s="46" t="str">
        <f t="shared" si="27"/>
        <v>3</v>
      </c>
      <c r="C517" s="75">
        <v>380</v>
      </c>
      <c r="D517" s="15" t="s">
        <v>117</v>
      </c>
      <c r="E517" s="265">
        <v>0</v>
      </c>
      <c r="F517" s="265">
        <v>0</v>
      </c>
      <c r="G517" s="265">
        <v>0</v>
      </c>
      <c r="H517" s="265">
        <v>0</v>
      </c>
      <c r="I517" s="54">
        <f t="shared" si="26"/>
        <v>0</v>
      </c>
    </row>
    <row r="518" spans="1:9" x14ac:dyDescent="0.25">
      <c r="A518" s="75">
        <v>7700</v>
      </c>
      <c r="B518" s="46" t="str">
        <f t="shared" si="27"/>
        <v>3</v>
      </c>
      <c r="C518" s="75">
        <v>390</v>
      </c>
      <c r="D518" s="15" t="s">
        <v>118</v>
      </c>
      <c r="E518" s="265">
        <v>0</v>
      </c>
      <c r="F518" s="265">
        <v>0</v>
      </c>
      <c r="G518" s="265">
        <v>0</v>
      </c>
      <c r="H518" s="265">
        <v>0</v>
      </c>
      <c r="I518" s="54">
        <f t="shared" si="26"/>
        <v>0</v>
      </c>
    </row>
    <row r="519" spans="1:9" x14ac:dyDescent="0.25">
      <c r="A519" s="75">
        <v>7700</v>
      </c>
      <c r="B519" s="46" t="str">
        <f t="shared" si="27"/>
        <v>4</v>
      </c>
      <c r="C519" s="75">
        <v>430</v>
      </c>
      <c r="D519" s="15" t="s">
        <v>119</v>
      </c>
      <c r="E519" s="265">
        <v>0</v>
      </c>
      <c r="F519" s="265">
        <v>0</v>
      </c>
      <c r="G519" s="265">
        <v>0</v>
      </c>
      <c r="H519" s="265">
        <v>0</v>
      </c>
      <c r="I519" s="54">
        <f t="shared" si="26"/>
        <v>0</v>
      </c>
    </row>
    <row r="520" spans="1:9" x14ac:dyDescent="0.25">
      <c r="A520" s="75">
        <v>7700</v>
      </c>
      <c r="B520" s="46" t="str">
        <f t="shared" si="27"/>
        <v>5</v>
      </c>
      <c r="C520" s="75">
        <v>510</v>
      </c>
      <c r="D520" s="15" t="s">
        <v>94</v>
      </c>
      <c r="E520" s="265">
        <v>0</v>
      </c>
      <c r="F520" s="265">
        <v>0</v>
      </c>
      <c r="G520" s="265">
        <v>0</v>
      </c>
      <c r="H520" s="265">
        <v>0</v>
      </c>
      <c r="I520" s="54">
        <f t="shared" si="26"/>
        <v>0</v>
      </c>
    </row>
    <row r="521" spans="1:9" x14ac:dyDescent="0.25">
      <c r="A521" s="75">
        <v>7700</v>
      </c>
      <c r="B521" s="46" t="str">
        <f t="shared" si="27"/>
        <v>5</v>
      </c>
      <c r="C521" s="75">
        <v>520</v>
      </c>
      <c r="D521" s="15" t="s">
        <v>95</v>
      </c>
      <c r="E521" s="265">
        <v>0</v>
      </c>
      <c r="F521" s="265">
        <v>0</v>
      </c>
      <c r="G521" s="265">
        <v>0</v>
      </c>
      <c r="H521" s="265">
        <v>0</v>
      </c>
      <c r="I521" s="54">
        <f t="shared" si="26"/>
        <v>0</v>
      </c>
    </row>
    <row r="522" spans="1:9" x14ac:dyDescent="0.25">
      <c r="A522" s="75">
        <v>7700</v>
      </c>
      <c r="B522" s="46" t="str">
        <f t="shared" si="27"/>
        <v>5</v>
      </c>
      <c r="C522" s="75">
        <v>530</v>
      </c>
      <c r="D522" s="15" t="s">
        <v>120</v>
      </c>
      <c r="E522" s="265">
        <v>0</v>
      </c>
      <c r="F522" s="265">
        <v>0</v>
      </c>
      <c r="G522" s="265">
        <v>0</v>
      </c>
      <c r="H522" s="265">
        <v>0</v>
      </c>
      <c r="I522" s="54">
        <f t="shared" si="26"/>
        <v>0</v>
      </c>
    </row>
    <row r="523" spans="1:9" x14ac:dyDescent="0.25">
      <c r="A523" s="75">
        <v>7700</v>
      </c>
      <c r="B523" s="46" t="str">
        <f t="shared" si="27"/>
        <v>5</v>
      </c>
      <c r="C523" s="75">
        <v>570</v>
      </c>
      <c r="D523" s="15" t="s">
        <v>85</v>
      </c>
      <c r="E523" s="265">
        <v>0</v>
      </c>
      <c r="F523" s="265">
        <v>0</v>
      </c>
      <c r="G523" s="265">
        <v>0</v>
      </c>
      <c r="H523" s="265">
        <v>0</v>
      </c>
      <c r="I523" s="54">
        <f t="shared" si="26"/>
        <v>0</v>
      </c>
    </row>
    <row r="524" spans="1:9" x14ac:dyDescent="0.25">
      <c r="A524" s="75">
        <v>7700</v>
      </c>
      <c r="B524" s="46" t="str">
        <f t="shared" si="27"/>
        <v>5</v>
      </c>
      <c r="C524" s="75">
        <v>590</v>
      </c>
      <c r="D524" s="15" t="s">
        <v>121</v>
      </c>
      <c r="E524" s="265">
        <v>0</v>
      </c>
      <c r="F524" s="265">
        <v>0</v>
      </c>
      <c r="G524" s="265">
        <v>0</v>
      </c>
      <c r="H524" s="265">
        <v>0</v>
      </c>
      <c r="I524" s="54">
        <f t="shared" si="26"/>
        <v>0</v>
      </c>
    </row>
    <row r="525" spans="1:9" x14ac:dyDescent="0.25">
      <c r="A525" s="75">
        <v>7700</v>
      </c>
      <c r="B525" s="46" t="str">
        <f t="shared" si="27"/>
        <v>6</v>
      </c>
      <c r="C525" s="75">
        <v>610</v>
      </c>
      <c r="D525" s="15" t="s">
        <v>122</v>
      </c>
      <c r="E525" s="265">
        <v>0</v>
      </c>
      <c r="F525" s="265">
        <v>0</v>
      </c>
      <c r="G525" s="265">
        <v>0</v>
      </c>
      <c r="H525" s="265">
        <v>0</v>
      </c>
      <c r="I525" s="54">
        <f t="shared" si="26"/>
        <v>0</v>
      </c>
    </row>
    <row r="526" spans="1:9" x14ac:dyDescent="0.25">
      <c r="A526" s="75">
        <v>7700</v>
      </c>
      <c r="B526" s="46" t="str">
        <f t="shared" si="27"/>
        <v>6</v>
      </c>
      <c r="C526" s="75">
        <v>621</v>
      </c>
      <c r="D526" s="15" t="s">
        <v>123</v>
      </c>
      <c r="E526" s="265">
        <v>0</v>
      </c>
      <c r="F526" s="265">
        <v>0</v>
      </c>
      <c r="G526" s="265">
        <v>0</v>
      </c>
      <c r="H526" s="265">
        <v>0</v>
      </c>
      <c r="I526" s="54">
        <f t="shared" si="26"/>
        <v>0</v>
      </c>
    </row>
    <row r="527" spans="1:9" x14ac:dyDescent="0.25">
      <c r="A527" s="75">
        <v>7700</v>
      </c>
      <c r="B527" s="46" t="str">
        <f t="shared" si="27"/>
        <v>6</v>
      </c>
      <c r="C527" s="75">
        <v>622</v>
      </c>
      <c r="D527" s="15" t="s">
        <v>124</v>
      </c>
      <c r="E527" s="265">
        <v>0</v>
      </c>
      <c r="F527" s="265">
        <v>0</v>
      </c>
      <c r="G527" s="265">
        <v>0</v>
      </c>
      <c r="H527" s="265">
        <v>0</v>
      </c>
      <c r="I527" s="54">
        <f t="shared" si="26"/>
        <v>0</v>
      </c>
    </row>
    <row r="528" spans="1:9" x14ac:dyDescent="0.25">
      <c r="A528" s="75">
        <v>7700</v>
      </c>
      <c r="B528" s="46" t="str">
        <f t="shared" si="27"/>
        <v>6</v>
      </c>
      <c r="C528" s="75">
        <v>630</v>
      </c>
      <c r="D528" s="15" t="s">
        <v>125</v>
      </c>
      <c r="E528" s="265">
        <v>0</v>
      </c>
      <c r="F528" s="265">
        <v>0</v>
      </c>
      <c r="G528" s="265">
        <v>0</v>
      </c>
      <c r="H528" s="265">
        <v>0</v>
      </c>
      <c r="I528" s="54">
        <f t="shared" si="26"/>
        <v>0</v>
      </c>
    </row>
    <row r="529" spans="1:9" x14ac:dyDescent="0.25">
      <c r="A529" s="75">
        <v>7700</v>
      </c>
      <c r="B529" s="46" t="str">
        <f t="shared" si="27"/>
        <v>6</v>
      </c>
      <c r="C529" s="75">
        <v>641</v>
      </c>
      <c r="D529" s="15" t="s">
        <v>126</v>
      </c>
      <c r="E529" s="265">
        <v>0</v>
      </c>
      <c r="F529" s="265">
        <v>0</v>
      </c>
      <c r="G529" s="265">
        <v>0</v>
      </c>
      <c r="H529" s="265">
        <v>0</v>
      </c>
      <c r="I529" s="54">
        <f t="shared" si="26"/>
        <v>0</v>
      </c>
    </row>
    <row r="530" spans="1:9" x14ac:dyDescent="0.25">
      <c r="A530" s="75">
        <v>7700</v>
      </c>
      <c r="B530" s="46" t="str">
        <f t="shared" si="27"/>
        <v>6</v>
      </c>
      <c r="C530" s="75">
        <v>642</v>
      </c>
      <c r="D530" s="15" t="s">
        <v>127</v>
      </c>
      <c r="E530" s="265">
        <v>0</v>
      </c>
      <c r="F530" s="265">
        <v>0</v>
      </c>
      <c r="G530" s="265">
        <v>0</v>
      </c>
      <c r="H530" s="265">
        <v>0</v>
      </c>
      <c r="I530" s="54">
        <f t="shared" si="26"/>
        <v>0</v>
      </c>
    </row>
    <row r="531" spans="1:9" x14ac:dyDescent="0.25">
      <c r="A531" s="75">
        <v>7700</v>
      </c>
      <c r="B531" s="46" t="str">
        <f t="shared" si="27"/>
        <v>6</v>
      </c>
      <c r="C531" s="75">
        <v>643</v>
      </c>
      <c r="D531" s="15" t="s">
        <v>128</v>
      </c>
      <c r="E531" s="265">
        <v>0</v>
      </c>
      <c r="F531" s="265">
        <v>0</v>
      </c>
      <c r="G531" s="265">
        <v>0</v>
      </c>
      <c r="H531" s="265">
        <v>0</v>
      </c>
      <c r="I531" s="54">
        <f t="shared" si="26"/>
        <v>0</v>
      </c>
    </row>
    <row r="532" spans="1:9" x14ac:dyDescent="0.25">
      <c r="A532" s="75">
        <v>7700</v>
      </c>
      <c r="B532" s="46" t="str">
        <f t="shared" si="27"/>
        <v>6</v>
      </c>
      <c r="C532" s="75">
        <v>644</v>
      </c>
      <c r="D532" s="15" t="s">
        <v>129</v>
      </c>
      <c r="E532" s="265">
        <v>0</v>
      </c>
      <c r="F532" s="265">
        <v>0</v>
      </c>
      <c r="G532" s="265">
        <v>0</v>
      </c>
      <c r="H532" s="265">
        <v>0</v>
      </c>
      <c r="I532" s="54">
        <f t="shared" si="26"/>
        <v>0</v>
      </c>
    </row>
    <row r="533" spans="1:9" x14ac:dyDescent="0.25">
      <c r="A533" s="75">
        <v>7700</v>
      </c>
      <c r="B533" s="46" t="str">
        <f t="shared" si="27"/>
        <v>6</v>
      </c>
      <c r="C533" s="75">
        <v>680</v>
      </c>
      <c r="D533" s="15" t="s">
        <v>130</v>
      </c>
      <c r="E533" s="265">
        <v>0</v>
      </c>
      <c r="F533" s="265">
        <v>0</v>
      </c>
      <c r="G533" s="265">
        <v>0</v>
      </c>
      <c r="H533" s="265">
        <v>0</v>
      </c>
      <c r="I533" s="54">
        <f t="shared" si="26"/>
        <v>0</v>
      </c>
    </row>
    <row r="534" spans="1:9" x14ac:dyDescent="0.25">
      <c r="A534" s="75">
        <v>7700</v>
      </c>
      <c r="B534" s="46" t="str">
        <f t="shared" si="27"/>
        <v>6</v>
      </c>
      <c r="C534" s="75">
        <v>690</v>
      </c>
      <c r="D534" s="15" t="s">
        <v>131</v>
      </c>
      <c r="E534" s="265">
        <v>0</v>
      </c>
      <c r="F534" s="265">
        <v>0</v>
      </c>
      <c r="G534" s="265">
        <v>0</v>
      </c>
      <c r="H534" s="265">
        <v>0</v>
      </c>
      <c r="I534" s="54">
        <f t="shared" si="26"/>
        <v>0</v>
      </c>
    </row>
    <row r="535" spans="1:9" x14ac:dyDescent="0.25">
      <c r="A535" s="75">
        <v>7700</v>
      </c>
      <c r="B535" s="46" t="str">
        <f t="shared" si="27"/>
        <v>7</v>
      </c>
      <c r="C535" s="75">
        <v>720</v>
      </c>
      <c r="D535" s="15" t="s">
        <v>132</v>
      </c>
      <c r="E535" s="265">
        <v>0</v>
      </c>
      <c r="F535" s="265">
        <v>0</v>
      </c>
      <c r="G535" s="265">
        <v>0</v>
      </c>
      <c r="H535" s="265">
        <v>0</v>
      </c>
      <c r="I535" s="54">
        <f t="shared" si="26"/>
        <v>0</v>
      </c>
    </row>
    <row r="536" spans="1:9" x14ac:dyDescent="0.25">
      <c r="A536" s="75">
        <v>7700</v>
      </c>
      <c r="B536" s="46" t="str">
        <f t="shared" si="27"/>
        <v>7</v>
      </c>
      <c r="C536" s="75">
        <v>730</v>
      </c>
      <c r="D536" s="15" t="s">
        <v>133</v>
      </c>
      <c r="E536" s="265">
        <v>0</v>
      </c>
      <c r="F536" s="265">
        <v>0</v>
      </c>
      <c r="G536" s="265">
        <v>0</v>
      </c>
      <c r="H536" s="265">
        <v>0</v>
      </c>
      <c r="I536" s="54">
        <f t="shared" si="26"/>
        <v>0</v>
      </c>
    </row>
    <row r="537" spans="1:9" ht="12.65" customHeight="1" x14ac:dyDescent="0.25">
      <c r="A537" s="75">
        <v>7700</v>
      </c>
      <c r="B537" s="46" t="str">
        <f t="shared" si="27"/>
        <v>7</v>
      </c>
      <c r="C537" s="75">
        <v>750</v>
      </c>
      <c r="D537" s="15" t="s">
        <v>134</v>
      </c>
      <c r="E537" s="265">
        <v>0</v>
      </c>
      <c r="F537" s="265">
        <v>0</v>
      </c>
      <c r="G537" s="265">
        <v>0</v>
      </c>
      <c r="H537" s="265">
        <v>0</v>
      </c>
      <c r="I537" s="54">
        <f t="shared" si="26"/>
        <v>0</v>
      </c>
    </row>
    <row r="538" spans="1:9" ht="12.65" customHeight="1" x14ac:dyDescent="0.25">
      <c r="A538" s="75">
        <v>7700</v>
      </c>
      <c r="B538" s="46" t="str">
        <f t="shared" si="27"/>
        <v>7</v>
      </c>
      <c r="C538" s="75">
        <v>790</v>
      </c>
      <c r="D538" s="15" t="s">
        <v>135</v>
      </c>
      <c r="E538" s="265">
        <v>0</v>
      </c>
      <c r="F538" s="265">
        <v>0</v>
      </c>
      <c r="G538" s="265">
        <v>0</v>
      </c>
      <c r="H538" s="265">
        <v>0</v>
      </c>
      <c r="I538" s="54">
        <f t="shared" si="26"/>
        <v>0</v>
      </c>
    </row>
    <row r="539" spans="1:9" ht="15.65" customHeight="1" x14ac:dyDescent="0.35">
      <c r="B539" s="46">
        <v>7700</v>
      </c>
      <c r="D539" s="76" t="s">
        <v>182</v>
      </c>
      <c r="E539" s="77">
        <f>SUM(E499:E538)</f>
        <v>0</v>
      </c>
      <c r="F539" s="77">
        <f>SUM(F499:F538)</f>
        <v>0</v>
      </c>
      <c r="G539" s="77">
        <f>SUM(G499:G538)</f>
        <v>0</v>
      </c>
      <c r="H539" s="77">
        <f>SUM(H499:H538)</f>
        <v>0</v>
      </c>
      <c r="I539" s="77">
        <f>SUM(I499:I538)</f>
        <v>0</v>
      </c>
    </row>
    <row r="540" spans="1:9" ht="18.649999999999999" customHeight="1" x14ac:dyDescent="0.45">
      <c r="A540" s="48" t="s">
        <v>161</v>
      </c>
      <c r="B540" s="49"/>
      <c r="C540" s="50"/>
      <c r="D540" s="50"/>
      <c r="E540" s="74"/>
      <c r="F540" s="74"/>
      <c r="G540" s="74"/>
      <c r="H540" s="74"/>
      <c r="I540" s="74"/>
    </row>
    <row r="541" spans="1:9" ht="12.65" customHeight="1" x14ac:dyDescent="0.25">
      <c r="A541" s="75">
        <v>7800</v>
      </c>
      <c r="B541" s="46" t="str">
        <f>LEFT(C541,1)</f>
        <v>1</v>
      </c>
      <c r="C541" s="75">
        <v>110</v>
      </c>
      <c r="D541" s="15" t="s">
        <v>102</v>
      </c>
      <c r="E541" s="265">
        <v>0</v>
      </c>
      <c r="F541" s="265">
        <v>0</v>
      </c>
      <c r="G541" s="265">
        <v>0</v>
      </c>
      <c r="H541" s="265">
        <v>0</v>
      </c>
      <c r="I541" s="54">
        <f t="shared" ref="I541:I581" si="28">SUM(E541:H541)</f>
        <v>0</v>
      </c>
    </row>
    <row r="542" spans="1:9" ht="12.65" customHeight="1" x14ac:dyDescent="0.25">
      <c r="A542" s="75">
        <v>7800</v>
      </c>
      <c r="B542" s="46" t="str">
        <f t="shared" ref="B542:B581" si="29">LEFT(C542,1)</f>
        <v>1</v>
      </c>
      <c r="C542" s="75">
        <v>120</v>
      </c>
      <c r="D542" s="15" t="s">
        <v>103</v>
      </c>
      <c r="E542" s="265">
        <v>0</v>
      </c>
      <c r="F542" s="265">
        <v>0</v>
      </c>
      <c r="G542" s="265">
        <v>0</v>
      </c>
      <c r="H542" s="265">
        <v>0</v>
      </c>
      <c r="I542" s="54">
        <f t="shared" si="28"/>
        <v>0</v>
      </c>
    </row>
    <row r="543" spans="1:9" ht="12.65" customHeight="1" x14ac:dyDescent="0.25">
      <c r="A543" s="75">
        <v>7800</v>
      </c>
      <c r="B543" s="46" t="str">
        <f t="shared" si="29"/>
        <v>1</v>
      </c>
      <c r="C543" s="75">
        <v>130</v>
      </c>
      <c r="D543" s="15" t="s">
        <v>104</v>
      </c>
      <c r="E543" s="265">
        <v>0</v>
      </c>
      <c r="F543" s="265">
        <v>0</v>
      </c>
      <c r="G543" s="265">
        <v>0</v>
      </c>
      <c r="H543" s="265">
        <v>0</v>
      </c>
      <c r="I543" s="54">
        <f t="shared" si="28"/>
        <v>0</v>
      </c>
    </row>
    <row r="544" spans="1:9" ht="12.65" customHeight="1" x14ac:dyDescent="0.25">
      <c r="A544" s="75">
        <v>7800</v>
      </c>
      <c r="B544" s="46" t="str">
        <f t="shared" si="29"/>
        <v>1</v>
      </c>
      <c r="C544" s="75">
        <v>140</v>
      </c>
      <c r="D544" s="15" t="s">
        <v>105</v>
      </c>
      <c r="E544" s="265">
        <v>0</v>
      </c>
      <c r="F544" s="265">
        <v>0</v>
      </c>
      <c r="G544" s="265">
        <v>0</v>
      </c>
      <c r="H544" s="265">
        <v>0</v>
      </c>
      <c r="I544" s="54">
        <f t="shared" si="28"/>
        <v>0</v>
      </c>
    </row>
    <row r="545" spans="1:9" ht="12.65" customHeight="1" x14ac:dyDescent="0.25">
      <c r="A545" s="75">
        <v>7800</v>
      </c>
      <c r="B545" s="46" t="str">
        <f t="shared" si="29"/>
        <v>1</v>
      </c>
      <c r="C545" s="75">
        <v>150</v>
      </c>
      <c r="D545" s="15" t="s">
        <v>106</v>
      </c>
      <c r="E545" s="265">
        <v>0</v>
      </c>
      <c r="F545" s="265">
        <v>0</v>
      </c>
      <c r="G545" s="265">
        <v>0</v>
      </c>
      <c r="H545" s="265">
        <v>0</v>
      </c>
      <c r="I545" s="54">
        <f t="shared" si="28"/>
        <v>0</v>
      </c>
    </row>
    <row r="546" spans="1:9" ht="12.65" customHeight="1" x14ac:dyDescent="0.25">
      <c r="A546" s="75">
        <v>7800</v>
      </c>
      <c r="B546" s="46" t="str">
        <f t="shared" si="29"/>
        <v>1</v>
      </c>
      <c r="C546" s="75">
        <v>160</v>
      </c>
      <c r="D546" s="15" t="s">
        <v>107</v>
      </c>
      <c r="E546" s="265">
        <v>0</v>
      </c>
      <c r="F546" s="265">
        <v>0</v>
      </c>
      <c r="G546" s="265">
        <v>0</v>
      </c>
      <c r="H546" s="265">
        <v>0</v>
      </c>
      <c r="I546" s="54">
        <f t="shared" si="28"/>
        <v>0</v>
      </c>
    </row>
    <row r="547" spans="1:9" ht="12.65" customHeight="1" x14ac:dyDescent="0.25">
      <c r="A547" s="75">
        <v>7800</v>
      </c>
      <c r="B547" s="46" t="str">
        <f t="shared" si="29"/>
        <v>2</v>
      </c>
      <c r="C547" s="75">
        <v>210</v>
      </c>
      <c r="D547" s="15" t="s">
        <v>108</v>
      </c>
      <c r="E547" s="265">
        <v>0</v>
      </c>
      <c r="F547" s="265">
        <v>0</v>
      </c>
      <c r="G547" s="265">
        <v>0</v>
      </c>
      <c r="H547" s="265">
        <v>0</v>
      </c>
      <c r="I547" s="54">
        <f t="shared" si="28"/>
        <v>0</v>
      </c>
    </row>
    <row r="548" spans="1:9" ht="12.65" customHeight="1" x14ac:dyDescent="0.25">
      <c r="A548" s="75">
        <v>7800</v>
      </c>
      <c r="B548" s="46" t="str">
        <f t="shared" si="29"/>
        <v>2</v>
      </c>
      <c r="C548" s="75">
        <v>220</v>
      </c>
      <c r="D548" s="15" t="s">
        <v>109</v>
      </c>
      <c r="E548" s="265">
        <v>0</v>
      </c>
      <c r="F548" s="265">
        <v>0</v>
      </c>
      <c r="G548" s="265">
        <v>0</v>
      </c>
      <c r="H548" s="265">
        <v>0</v>
      </c>
      <c r="I548" s="54">
        <f t="shared" si="28"/>
        <v>0</v>
      </c>
    </row>
    <row r="549" spans="1:9" x14ac:dyDescent="0.25">
      <c r="A549" s="75">
        <v>7800</v>
      </c>
      <c r="B549" s="46" t="str">
        <f t="shared" si="29"/>
        <v>2</v>
      </c>
      <c r="C549" s="75">
        <v>230</v>
      </c>
      <c r="D549" s="15" t="s">
        <v>110</v>
      </c>
      <c r="E549" s="265">
        <v>0</v>
      </c>
      <c r="F549" s="265">
        <v>0</v>
      </c>
      <c r="G549" s="265">
        <v>0</v>
      </c>
      <c r="H549" s="265">
        <v>0</v>
      </c>
      <c r="I549" s="54">
        <f t="shared" si="28"/>
        <v>0</v>
      </c>
    </row>
    <row r="550" spans="1:9" x14ac:dyDescent="0.25">
      <c r="A550" s="75">
        <v>7800</v>
      </c>
      <c r="B550" s="46" t="str">
        <f t="shared" si="29"/>
        <v>2</v>
      </c>
      <c r="C550" s="75">
        <v>240</v>
      </c>
      <c r="D550" s="15" t="s">
        <v>111</v>
      </c>
      <c r="E550" s="265">
        <v>0</v>
      </c>
      <c r="F550" s="265">
        <v>0</v>
      </c>
      <c r="G550" s="265">
        <v>0</v>
      </c>
      <c r="H550" s="265">
        <v>0</v>
      </c>
      <c r="I550" s="54">
        <f t="shared" si="28"/>
        <v>0</v>
      </c>
    </row>
    <row r="551" spans="1:9" x14ac:dyDescent="0.25">
      <c r="A551" s="75">
        <v>7800</v>
      </c>
      <c r="B551" s="46" t="str">
        <f t="shared" si="29"/>
        <v>2</v>
      </c>
      <c r="C551" s="75">
        <v>250</v>
      </c>
      <c r="D551" s="15" t="s">
        <v>112</v>
      </c>
      <c r="E551" s="265">
        <v>0</v>
      </c>
      <c r="F551" s="265">
        <v>0</v>
      </c>
      <c r="G551" s="265">
        <v>0</v>
      </c>
      <c r="H551" s="265">
        <v>0</v>
      </c>
      <c r="I551" s="54">
        <f t="shared" si="28"/>
        <v>0</v>
      </c>
    </row>
    <row r="552" spans="1:9" x14ac:dyDescent="0.25">
      <c r="A552" s="75">
        <v>7800</v>
      </c>
      <c r="B552" s="46" t="str">
        <f t="shared" si="29"/>
        <v>2</v>
      </c>
      <c r="C552" s="75">
        <v>290</v>
      </c>
      <c r="D552" s="15" t="s">
        <v>113</v>
      </c>
      <c r="E552" s="265">
        <v>0</v>
      </c>
      <c r="F552" s="265">
        <v>0</v>
      </c>
      <c r="G552" s="265">
        <v>0</v>
      </c>
      <c r="H552" s="265">
        <v>0</v>
      </c>
      <c r="I552" s="54">
        <f t="shared" si="28"/>
        <v>0</v>
      </c>
    </row>
    <row r="553" spans="1:9" x14ac:dyDescent="0.25">
      <c r="A553" s="75">
        <v>7800</v>
      </c>
      <c r="B553" s="46" t="str">
        <f t="shared" si="29"/>
        <v>3</v>
      </c>
      <c r="C553" s="75">
        <v>310</v>
      </c>
      <c r="D553" s="15" t="s">
        <v>114</v>
      </c>
      <c r="E553" s="265">
        <v>0</v>
      </c>
      <c r="F553" s="265">
        <v>0</v>
      </c>
      <c r="G553" s="265">
        <v>0</v>
      </c>
      <c r="H553" s="265">
        <v>0</v>
      </c>
      <c r="I553" s="54">
        <f t="shared" si="28"/>
        <v>0</v>
      </c>
    </row>
    <row r="554" spans="1:9" x14ac:dyDescent="0.25">
      <c r="A554" s="75">
        <v>7800</v>
      </c>
      <c r="B554" s="46" t="str">
        <f t="shared" si="29"/>
        <v>3</v>
      </c>
      <c r="C554" s="75">
        <v>320</v>
      </c>
      <c r="D554" s="15" t="s">
        <v>115</v>
      </c>
      <c r="E554" s="265">
        <v>0</v>
      </c>
      <c r="F554" s="265">
        <v>0</v>
      </c>
      <c r="G554" s="265">
        <v>0</v>
      </c>
      <c r="H554" s="265">
        <v>0</v>
      </c>
      <c r="I554" s="54">
        <f t="shared" si="28"/>
        <v>0</v>
      </c>
    </row>
    <row r="555" spans="1:9" x14ac:dyDescent="0.25">
      <c r="A555" s="75">
        <v>7800</v>
      </c>
      <c r="B555" s="46" t="str">
        <f t="shared" si="29"/>
        <v>3</v>
      </c>
      <c r="C555" s="75">
        <v>330</v>
      </c>
      <c r="D555" s="15" t="s">
        <v>84</v>
      </c>
      <c r="E555" s="265">
        <v>0</v>
      </c>
      <c r="F555" s="265">
        <v>0</v>
      </c>
      <c r="G555" s="265">
        <v>0</v>
      </c>
      <c r="H555" s="265">
        <v>0</v>
      </c>
      <c r="I555" s="54">
        <f t="shared" si="28"/>
        <v>0</v>
      </c>
    </row>
    <row r="556" spans="1:9" x14ac:dyDescent="0.25">
      <c r="A556" s="75">
        <v>7800</v>
      </c>
      <c r="B556" s="46" t="str">
        <f t="shared" si="29"/>
        <v>3</v>
      </c>
      <c r="C556" s="75">
        <v>350</v>
      </c>
      <c r="D556" s="15" t="s">
        <v>116</v>
      </c>
      <c r="E556" s="265">
        <v>0</v>
      </c>
      <c r="F556" s="265">
        <v>0</v>
      </c>
      <c r="G556" s="265">
        <v>0</v>
      </c>
      <c r="H556" s="265">
        <v>0</v>
      </c>
      <c r="I556" s="54">
        <f t="shared" si="28"/>
        <v>0</v>
      </c>
    </row>
    <row r="557" spans="1:9" x14ac:dyDescent="0.25">
      <c r="A557" s="75">
        <v>7800</v>
      </c>
      <c r="B557" s="46" t="str">
        <f t="shared" si="29"/>
        <v>3</v>
      </c>
      <c r="C557" s="75">
        <v>360</v>
      </c>
      <c r="D557" s="15" t="s">
        <v>92</v>
      </c>
      <c r="E557" s="265">
        <v>0</v>
      </c>
      <c r="F557" s="265">
        <v>0</v>
      </c>
      <c r="G557" s="265">
        <v>0</v>
      </c>
      <c r="H557" s="265">
        <v>0</v>
      </c>
      <c r="I557" s="54">
        <f t="shared" si="28"/>
        <v>0</v>
      </c>
    </row>
    <row r="558" spans="1:9" x14ac:dyDescent="0.25">
      <c r="A558" s="75">
        <v>7800</v>
      </c>
      <c r="B558" s="46" t="str">
        <f t="shared" si="29"/>
        <v>3</v>
      </c>
      <c r="C558" s="75">
        <v>370</v>
      </c>
      <c r="D558" s="15" t="s">
        <v>93</v>
      </c>
      <c r="E558" s="265">
        <v>0</v>
      </c>
      <c r="F558" s="265">
        <v>0</v>
      </c>
      <c r="G558" s="265">
        <v>0</v>
      </c>
      <c r="H558" s="265">
        <v>0</v>
      </c>
      <c r="I558" s="54">
        <f t="shared" si="28"/>
        <v>0</v>
      </c>
    </row>
    <row r="559" spans="1:9" x14ac:dyDescent="0.25">
      <c r="A559" s="75">
        <v>7800</v>
      </c>
      <c r="B559" s="46" t="str">
        <f t="shared" si="29"/>
        <v>3</v>
      </c>
      <c r="C559" s="75">
        <v>380</v>
      </c>
      <c r="D559" s="15" t="s">
        <v>117</v>
      </c>
      <c r="E559" s="265">
        <v>0</v>
      </c>
      <c r="F559" s="265">
        <v>0</v>
      </c>
      <c r="G559" s="265">
        <v>0</v>
      </c>
      <c r="H559" s="265">
        <v>0</v>
      </c>
      <c r="I559" s="54">
        <f t="shared" si="28"/>
        <v>0</v>
      </c>
    </row>
    <row r="560" spans="1:9" x14ac:dyDescent="0.25">
      <c r="A560" s="75">
        <v>7800</v>
      </c>
      <c r="B560" s="46" t="str">
        <f t="shared" si="29"/>
        <v>3</v>
      </c>
      <c r="C560" s="75">
        <v>390</v>
      </c>
      <c r="D560" s="15" t="s">
        <v>118</v>
      </c>
      <c r="E560" s="265">
        <v>106200</v>
      </c>
      <c r="F560" s="265">
        <v>0</v>
      </c>
      <c r="G560" s="265">
        <v>0</v>
      </c>
      <c r="H560" s="265">
        <v>0</v>
      </c>
      <c r="I560" s="54">
        <f t="shared" si="28"/>
        <v>106200</v>
      </c>
    </row>
    <row r="561" spans="1:9" x14ac:dyDescent="0.25">
      <c r="A561" s="75">
        <v>7800</v>
      </c>
      <c r="B561" s="46" t="str">
        <f t="shared" si="29"/>
        <v>4</v>
      </c>
      <c r="C561" s="75">
        <v>430</v>
      </c>
      <c r="D561" s="15" t="s">
        <v>119</v>
      </c>
      <c r="E561" s="265">
        <v>0</v>
      </c>
      <c r="F561" s="265">
        <v>0</v>
      </c>
      <c r="G561" s="265">
        <v>0</v>
      </c>
      <c r="H561" s="265">
        <v>0</v>
      </c>
      <c r="I561" s="54">
        <f t="shared" si="28"/>
        <v>0</v>
      </c>
    </row>
    <row r="562" spans="1:9" x14ac:dyDescent="0.25">
      <c r="A562" s="75">
        <v>7800</v>
      </c>
      <c r="B562" s="46" t="str">
        <f t="shared" si="29"/>
        <v>4</v>
      </c>
      <c r="C562" s="75">
        <v>460</v>
      </c>
      <c r="D562" s="15" t="s">
        <v>136</v>
      </c>
      <c r="E562" s="265">
        <v>0</v>
      </c>
      <c r="F562" s="265">
        <v>0</v>
      </c>
      <c r="G562" s="265">
        <v>0</v>
      </c>
      <c r="H562" s="265">
        <v>0</v>
      </c>
      <c r="I562" s="54">
        <f t="shared" si="28"/>
        <v>0</v>
      </c>
    </row>
    <row r="563" spans="1:9" x14ac:dyDescent="0.25">
      <c r="A563" s="75">
        <v>7800</v>
      </c>
      <c r="B563" s="46" t="str">
        <f t="shared" si="29"/>
        <v>5</v>
      </c>
      <c r="C563" s="75">
        <v>510</v>
      </c>
      <c r="D563" s="15" t="s">
        <v>94</v>
      </c>
      <c r="E563" s="265">
        <v>0</v>
      </c>
      <c r="F563" s="265">
        <v>0</v>
      </c>
      <c r="G563" s="265">
        <v>0</v>
      </c>
      <c r="H563" s="265">
        <v>0</v>
      </c>
      <c r="I563" s="54">
        <f t="shared" si="28"/>
        <v>0</v>
      </c>
    </row>
    <row r="564" spans="1:9" x14ac:dyDescent="0.25">
      <c r="A564" s="75">
        <v>7800</v>
      </c>
      <c r="B564" s="46" t="str">
        <f t="shared" si="29"/>
        <v>5</v>
      </c>
      <c r="C564" s="75">
        <v>520</v>
      </c>
      <c r="D564" s="15" t="s">
        <v>95</v>
      </c>
      <c r="E564" s="265">
        <v>0</v>
      </c>
      <c r="F564" s="265">
        <v>0</v>
      </c>
      <c r="G564" s="265">
        <v>0</v>
      </c>
      <c r="H564" s="265">
        <v>0</v>
      </c>
      <c r="I564" s="54">
        <f t="shared" si="28"/>
        <v>0</v>
      </c>
    </row>
    <row r="565" spans="1:9" x14ac:dyDescent="0.25">
      <c r="A565" s="75">
        <v>7800</v>
      </c>
      <c r="B565" s="46" t="str">
        <f t="shared" si="29"/>
        <v>5</v>
      </c>
      <c r="C565" s="75">
        <v>530</v>
      </c>
      <c r="D565" s="15" t="s">
        <v>120</v>
      </c>
      <c r="E565" s="265">
        <v>0</v>
      </c>
      <c r="F565" s="265">
        <v>0</v>
      </c>
      <c r="G565" s="265">
        <v>0</v>
      </c>
      <c r="H565" s="265">
        <v>0</v>
      </c>
      <c r="I565" s="54">
        <f t="shared" si="28"/>
        <v>0</v>
      </c>
    </row>
    <row r="566" spans="1:9" x14ac:dyDescent="0.25">
      <c r="A566" s="75">
        <v>7800</v>
      </c>
      <c r="B566" s="46" t="str">
        <f t="shared" si="29"/>
        <v>5</v>
      </c>
      <c r="C566" s="75">
        <v>570</v>
      </c>
      <c r="D566" s="15" t="s">
        <v>85</v>
      </c>
      <c r="E566" s="265">
        <v>0</v>
      </c>
      <c r="F566" s="265">
        <v>0</v>
      </c>
      <c r="G566" s="265">
        <v>0</v>
      </c>
      <c r="H566" s="265">
        <v>0</v>
      </c>
      <c r="I566" s="54">
        <f t="shared" si="28"/>
        <v>0</v>
      </c>
    </row>
    <row r="567" spans="1:9" x14ac:dyDescent="0.25">
      <c r="A567" s="75">
        <v>7800</v>
      </c>
      <c r="B567" s="46" t="str">
        <f t="shared" si="29"/>
        <v>5</v>
      </c>
      <c r="C567" s="75">
        <v>590</v>
      </c>
      <c r="D567" s="15" t="s">
        <v>121</v>
      </c>
      <c r="E567" s="265">
        <v>0</v>
      </c>
      <c r="F567" s="265">
        <v>0</v>
      </c>
      <c r="G567" s="265">
        <v>0</v>
      </c>
      <c r="H567" s="265">
        <v>0</v>
      </c>
      <c r="I567" s="54">
        <f t="shared" si="28"/>
        <v>0</v>
      </c>
    </row>
    <row r="568" spans="1:9" x14ac:dyDescent="0.25">
      <c r="A568" s="75">
        <v>7800</v>
      </c>
      <c r="B568" s="46" t="str">
        <f t="shared" si="29"/>
        <v>6</v>
      </c>
      <c r="C568" s="75">
        <v>610</v>
      </c>
      <c r="D568" s="15" t="s">
        <v>122</v>
      </c>
      <c r="E568" s="265">
        <v>0</v>
      </c>
      <c r="F568" s="265">
        <v>0</v>
      </c>
      <c r="G568" s="265">
        <v>0</v>
      </c>
      <c r="H568" s="265">
        <v>0</v>
      </c>
      <c r="I568" s="54">
        <f t="shared" si="28"/>
        <v>0</v>
      </c>
    </row>
    <row r="569" spans="1:9" x14ac:dyDescent="0.25">
      <c r="A569" s="75">
        <v>7800</v>
      </c>
      <c r="B569" s="46" t="str">
        <f t="shared" si="29"/>
        <v>6</v>
      </c>
      <c r="C569" s="75">
        <v>621</v>
      </c>
      <c r="D569" s="15" t="s">
        <v>123</v>
      </c>
      <c r="E569" s="265">
        <v>0</v>
      </c>
      <c r="F569" s="265">
        <v>0</v>
      </c>
      <c r="G569" s="265">
        <v>0</v>
      </c>
      <c r="H569" s="265">
        <v>0</v>
      </c>
      <c r="I569" s="54">
        <f t="shared" si="28"/>
        <v>0</v>
      </c>
    </row>
    <row r="570" spans="1:9" x14ac:dyDescent="0.25">
      <c r="A570" s="75">
        <v>7800</v>
      </c>
      <c r="B570" s="46" t="str">
        <f t="shared" si="29"/>
        <v>6</v>
      </c>
      <c r="C570" s="75">
        <v>622</v>
      </c>
      <c r="D570" s="15" t="s">
        <v>124</v>
      </c>
      <c r="E570" s="265">
        <v>0</v>
      </c>
      <c r="F570" s="265">
        <v>0</v>
      </c>
      <c r="G570" s="265">
        <v>0</v>
      </c>
      <c r="H570" s="265">
        <v>0</v>
      </c>
      <c r="I570" s="54">
        <f t="shared" si="28"/>
        <v>0</v>
      </c>
    </row>
    <row r="571" spans="1:9" x14ac:dyDescent="0.25">
      <c r="A571" s="75">
        <v>7800</v>
      </c>
      <c r="B571" s="46" t="str">
        <f t="shared" si="29"/>
        <v>6</v>
      </c>
      <c r="C571" s="75">
        <v>630</v>
      </c>
      <c r="D571" s="15" t="s">
        <v>125</v>
      </c>
      <c r="E571" s="265">
        <v>0</v>
      </c>
      <c r="F571" s="265">
        <v>0</v>
      </c>
      <c r="G571" s="265">
        <v>0</v>
      </c>
      <c r="H571" s="265">
        <v>0</v>
      </c>
      <c r="I571" s="54">
        <f t="shared" si="28"/>
        <v>0</v>
      </c>
    </row>
    <row r="572" spans="1:9" x14ac:dyDescent="0.25">
      <c r="A572" s="75">
        <v>7800</v>
      </c>
      <c r="B572" s="46" t="str">
        <f t="shared" si="29"/>
        <v>6</v>
      </c>
      <c r="C572" s="75">
        <v>641</v>
      </c>
      <c r="D572" s="15" t="s">
        <v>126</v>
      </c>
      <c r="E572" s="265">
        <v>0</v>
      </c>
      <c r="F572" s="265">
        <v>0</v>
      </c>
      <c r="G572" s="265">
        <v>0</v>
      </c>
      <c r="H572" s="265">
        <v>0</v>
      </c>
      <c r="I572" s="54">
        <f t="shared" si="28"/>
        <v>0</v>
      </c>
    </row>
    <row r="573" spans="1:9" x14ac:dyDescent="0.25">
      <c r="A573" s="75">
        <v>7800</v>
      </c>
      <c r="B573" s="46" t="str">
        <f t="shared" si="29"/>
        <v>6</v>
      </c>
      <c r="C573" s="75">
        <v>642</v>
      </c>
      <c r="D573" s="15" t="s">
        <v>127</v>
      </c>
      <c r="E573" s="265">
        <v>0</v>
      </c>
      <c r="F573" s="265">
        <v>0</v>
      </c>
      <c r="G573" s="265">
        <v>0</v>
      </c>
      <c r="H573" s="265">
        <v>0</v>
      </c>
      <c r="I573" s="54">
        <f t="shared" si="28"/>
        <v>0</v>
      </c>
    </row>
    <row r="574" spans="1:9" x14ac:dyDescent="0.25">
      <c r="A574" s="75">
        <v>7800</v>
      </c>
      <c r="B574" s="46" t="str">
        <f t="shared" si="29"/>
        <v>6</v>
      </c>
      <c r="C574" s="75">
        <v>643</v>
      </c>
      <c r="D574" s="15" t="s">
        <v>128</v>
      </c>
      <c r="E574" s="265">
        <v>0</v>
      </c>
      <c r="F574" s="265">
        <v>0</v>
      </c>
      <c r="G574" s="265">
        <v>0</v>
      </c>
      <c r="H574" s="265">
        <v>0</v>
      </c>
      <c r="I574" s="54">
        <f t="shared" si="28"/>
        <v>0</v>
      </c>
    </row>
    <row r="575" spans="1:9" x14ac:dyDescent="0.25">
      <c r="A575" s="75">
        <v>7800</v>
      </c>
      <c r="B575" s="46" t="str">
        <f t="shared" si="29"/>
        <v>6</v>
      </c>
      <c r="C575" s="75">
        <v>644</v>
      </c>
      <c r="D575" s="15" t="s">
        <v>129</v>
      </c>
      <c r="E575" s="265">
        <v>0</v>
      </c>
      <c r="F575" s="265">
        <v>0</v>
      </c>
      <c r="G575" s="265">
        <v>0</v>
      </c>
      <c r="H575" s="265">
        <v>0</v>
      </c>
      <c r="I575" s="54">
        <f t="shared" si="28"/>
        <v>0</v>
      </c>
    </row>
    <row r="576" spans="1:9" x14ac:dyDescent="0.25">
      <c r="A576" s="75">
        <v>7800</v>
      </c>
      <c r="B576" s="46" t="str">
        <f t="shared" si="29"/>
        <v>6</v>
      </c>
      <c r="C576" s="75">
        <v>680</v>
      </c>
      <c r="D576" s="15" t="s">
        <v>130</v>
      </c>
      <c r="E576" s="265">
        <v>0</v>
      </c>
      <c r="F576" s="265">
        <v>0</v>
      </c>
      <c r="G576" s="265">
        <v>0</v>
      </c>
      <c r="H576" s="265">
        <v>0</v>
      </c>
      <c r="I576" s="54">
        <f t="shared" si="28"/>
        <v>0</v>
      </c>
    </row>
    <row r="577" spans="1:9" x14ac:dyDescent="0.25">
      <c r="A577" s="75">
        <v>7800</v>
      </c>
      <c r="B577" s="46" t="str">
        <f t="shared" si="29"/>
        <v>6</v>
      </c>
      <c r="C577" s="75">
        <v>690</v>
      </c>
      <c r="D577" s="15" t="s">
        <v>131</v>
      </c>
      <c r="E577" s="265">
        <v>0</v>
      </c>
      <c r="F577" s="265">
        <v>0</v>
      </c>
      <c r="G577" s="265">
        <v>0</v>
      </c>
      <c r="H577" s="265">
        <v>0</v>
      </c>
      <c r="I577" s="54">
        <f t="shared" si="28"/>
        <v>0</v>
      </c>
    </row>
    <row r="578" spans="1:9" x14ac:dyDescent="0.25">
      <c r="A578" s="75">
        <v>7800</v>
      </c>
      <c r="B578" s="46" t="str">
        <f t="shared" si="29"/>
        <v>7</v>
      </c>
      <c r="C578" s="75">
        <v>720</v>
      </c>
      <c r="D578" s="15" t="s">
        <v>132</v>
      </c>
      <c r="E578" s="265">
        <v>0</v>
      </c>
      <c r="F578" s="265">
        <v>0</v>
      </c>
      <c r="G578" s="265">
        <v>0</v>
      </c>
      <c r="H578" s="265">
        <v>0</v>
      </c>
      <c r="I578" s="54">
        <f t="shared" si="28"/>
        <v>0</v>
      </c>
    </row>
    <row r="579" spans="1:9" ht="13.5" customHeight="1" x14ac:dyDescent="0.25">
      <c r="A579" s="75">
        <v>7800</v>
      </c>
      <c r="B579" s="46" t="str">
        <f t="shared" si="29"/>
        <v>7</v>
      </c>
      <c r="C579" s="75">
        <v>730</v>
      </c>
      <c r="D579" s="15" t="s">
        <v>133</v>
      </c>
      <c r="E579" s="265">
        <v>0</v>
      </c>
      <c r="F579" s="265">
        <v>0</v>
      </c>
      <c r="G579" s="265">
        <v>0</v>
      </c>
      <c r="H579" s="265">
        <v>0</v>
      </c>
      <c r="I579" s="54">
        <f t="shared" si="28"/>
        <v>0</v>
      </c>
    </row>
    <row r="580" spans="1:9" ht="12.65" customHeight="1" x14ac:dyDescent="0.25">
      <c r="A580" s="75">
        <v>7800</v>
      </c>
      <c r="B580" s="46" t="str">
        <f t="shared" si="29"/>
        <v>7</v>
      </c>
      <c r="C580" s="75">
        <v>750</v>
      </c>
      <c r="D580" s="15" t="s">
        <v>134</v>
      </c>
      <c r="E580" s="265">
        <v>0</v>
      </c>
      <c r="F580" s="265">
        <v>0</v>
      </c>
      <c r="G580" s="265">
        <v>0</v>
      </c>
      <c r="H580" s="265">
        <v>0</v>
      </c>
      <c r="I580" s="54">
        <f t="shared" si="28"/>
        <v>0</v>
      </c>
    </row>
    <row r="581" spans="1:9" ht="12.65" customHeight="1" x14ac:dyDescent="0.25">
      <c r="A581" s="75">
        <v>7800</v>
      </c>
      <c r="B581" s="46" t="str">
        <f t="shared" si="29"/>
        <v>7</v>
      </c>
      <c r="C581" s="75">
        <v>790</v>
      </c>
      <c r="D581" s="15" t="s">
        <v>135</v>
      </c>
      <c r="E581" s="265">
        <v>0</v>
      </c>
      <c r="F581" s="265">
        <v>0</v>
      </c>
      <c r="G581" s="265">
        <v>0</v>
      </c>
      <c r="H581" s="265">
        <v>0</v>
      </c>
      <c r="I581" s="54">
        <f t="shared" si="28"/>
        <v>0</v>
      </c>
    </row>
    <row r="582" spans="1:9" ht="14.5" customHeight="1" x14ac:dyDescent="0.35">
      <c r="B582" s="46">
        <v>7800</v>
      </c>
      <c r="D582" s="76" t="s">
        <v>169</v>
      </c>
      <c r="E582" s="77">
        <f>SUM(E541:E581)</f>
        <v>106200</v>
      </c>
      <c r="F582" s="77">
        <f>SUM(F541:F581)</f>
        <v>0</v>
      </c>
      <c r="G582" s="77">
        <f>SUM(G541:G581)</f>
        <v>0</v>
      </c>
      <c r="H582" s="77">
        <f>SUM(H541:H581)</f>
        <v>0</v>
      </c>
      <c r="I582" s="77">
        <f>SUM(I541:I581)</f>
        <v>106200</v>
      </c>
    </row>
    <row r="583" spans="1:9" ht="18.649999999999999" customHeight="1" x14ac:dyDescent="0.45">
      <c r="A583" s="48" t="s">
        <v>162</v>
      </c>
      <c r="B583" s="49"/>
      <c r="C583" s="50"/>
      <c r="D583" s="50"/>
      <c r="E583" s="74"/>
      <c r="F583" s="74"/>
      <c r="G583" s="74"/>
      <c r="H583" s="74"/>
      <c r="I583" s="74"/>
    </row>
    <row r="584" spans="1:9" ht="12.65" customHeight="1" x14ac:dyDescent="0.25">
      <c r="A584" s="75">
        <v>7900</v>
      </c>
      <c r="B584" s="46" t="str">
        <f t="shared" ref="B584:B623" si="30">LEFT(C584,1)</f>
        <v>1</v>
      </c>
      <c r="C584" s="75">
        <v>110</v>
      </c>
      <c r="D584" s="15" t="s">
        <v>102</v>
      </c>
      <c r="E584" s="265">
        <v>0</v>
      </c>
      <c r="F584" s="265">
        <v>0</v>
      </c>
      <c r="G584" s="265">
        <v>0</v>
      </c>
      <c r="H584" s="265">
        <v>0</v>
      </c>
      <c r="I584" s="54">
        <f t="shared" ref="I584:I623" si="31">SUM(E584:H584)</f>
        <v>0</v>
      </c>
    </row>
    <row r="585" spans="1:9" ht="12.65" customHeight="1" x14ac:dyDescent="0.25">
      <c r="A585" s="75">
        <v>7900</v>
      </c>
      <c r="B585" s="46" t="str">
        <f t="shared" si="30"/>
        <v>1</v>
      </c>
      <c r="C585" s="75">
        <v>120</v>
      </c>
      <c r="D585" s="15" t="s">
        <v>103</v>
      </c>
      <c r="E585" s="265">
        <v>0</v>
      </c>
      <c r="F585" s="265">
        <v>0</v>
      </c>
      <c r="G585" s="265">
        <v>0</v>
      </c>
      <c r="H585" s="265">
        <v>0</v>
      </c>
      <c r="I585" s="54">
        <f t="shared" si="31"/>
        <v>0</v>
      </c>
    </row>
    <row r="586" spans="1:9" ht="12.65" customHeight="1" x14ac:dyDescent="0.25">
      <c r="A586" s="75">
        <v>7900</v>
      </c>
      <c r="B586" s="46" t="str">
        <f t="shared" si="30"/>
        <v>1</v>
      </c>
      <c r="C586" s="75">
        <v>130</v>
      </c>
      <c r="D586" s="15" t="s">
        <v>104</v>
      </c>
      <c r="E586" s="265">
        <v>0</v>
      </c>
      <c r="F586" s="265">
        <v>0</v>
      </c>
      <c r="G586" s="265">
        <v>0</v>
      </c>
      <c r="H586" s="265">
        <v>0</v>
      </c>
      <c r="I586" s="54">
        <f t="shared" si="31"/>
        <v>0</v>
      </c>
    </row>
    <row r="587" spans="1:9" ht="12.65" customHeight="1" x14ac:dyDescent="0.25">
      <c r="A587" s="75">
        <v>7900</v>
      </c>
      <c r="B587" s="46" t="str">
        <f t="shared" si="30"/>
        <v>1</v>
      </c>
      <c r="C587" s="75">
        <v>140</v>
      </c>
      <c r="D587" s="15" t="s">
        <v>105</v>
      </c>
      <c r="E587" s="265">
        <v>0</v>
      </c>
      <c r="F587" s="265">
        <v>0</v>
      </c>
      <c r="G587" s="265">
        <v>0</v>
      </c>
      <c r="H587" s="265">
        <v>0</v>
      </c>
      <c r="I587" s="54">
        <f t="shared" si="31"/>
        <v>0</v>
      </c>
    </row>
    <row r="588" spans="1:9" ht="12.65" customHeight="1" x14ac:dyDescent="0.25">
      <c r="A588" s="75">
        <v>7900</v>
      </c>
      <c r="B588" s="46" t="str">
        <f t="shared" si="30"/>
        <v>1</v>
      </c>
      <c r="C588" s="75">
        <v>150</v>
      </c>
      <c r="D588" s="15" t="s">
        <v>106</v>
      </c>
      <c r="E588" s="265">
        <v>0</v>
      </c>
      <c r="F588" s="265">
        <v>0</v>
      </c>
      <c r="G588" s="265">
        <v>0</v>
      </c>
      <c r="H588" s="265">
        <v>0</v>
      </c>
      <c r="I588" s="54">
        <f t="shared" si="31"/>
        <v>0</v>
      </c>
    </row>
    <row r="589" spans="1:9" ht="12.65" customHeight="1" x14ac:dyDescent="0.25">
      <c r="A589" s="75">
        <v>7900</v>
      </c>
      <c r="B589" s="46" t="str">
        <f t="shared" si="30"/>
        <v>1</v>
      </c>
      <c r="C589" s="75">
        <v>160</v>
      </c>
      <c r="D589" s="15" t="s">
        <v>107</v>
      </c>
      <c r="E589" s="265">
        <v>0</v>
      </c>
      <c r="F589" s="265">
        <v>0</v>
      </c>
      <c r="G589" s="265">
        <v>0</v>
      </c>
      <c r="H589" s="265">
        <v>0</v>
      </c>
      <c r="I589" s="54">
        <f t="shared" si="31"/>
        <v>0</v>
      </c>
    </row>
    <row r="590" spans="1:9" ht="12.65" customHeight="1" x14ac:dyDescent="0.25">
      <c r="A590" s="75">
        <v>7900</v>
      </c>
      <c r="B590" s="46" t="str">
        <f t="shared" si="30"/>
        <v>2</v>
      </c>
      <c r="C590" s="75">
        <v>210</v>
      </c>
      <c r="D590" s="15" t="s">
        <v>108</v>
      </c>
      <c r="E590" s="265">
        <v>0</v>
      </c>
      <c r="F590" s="265">
        <v>0</v>
      </c>
      <c r="G590" s="265">
        <v>0</v>
      </c>
      <c r="H590" s="265">
        <v>0</v>
      </c>
      <c r="I590" s="54">
        <f t="shared" si="31"/>
        <v>0</v>
      </c>
    </row>
    <row r="591" spans="1:9" x14ac:dyDescent="0.25">
      <c r="A591" s="75">
        <v>7900</v>
      </c>
      <c r="B591" s="46" t="str">
        <f t="shared" si="30"/>
        <v>2</v>
      </c>
      <c r="C591" s="75">
        <v>220</v>
      </c>
      <c r="D591" s="15" t="s">
        <v>109</v>
      </c>
      <c r="E591" s="265">
        <v>0</v>
      </c>
      <c r="F591" s="265">
        <v>0</v>
      </c>
      <c r="G591" s="265">
        <v>0</v>
      </c>
      <c r="H591" s="265">
        <v>0</v>
      </c>
      <c r="I591" s="54">
        <f t="shared" si="31"/>
        <v>0</v>
      </c>
    </row>
    <row r="592" spans="1:9" x14ac:dyDescent="0.25">
      <c r="A592" s="75">
        <v>7900</v>
      </c>
      <c r="B592" s="46" t="str">
        <f t="shared" si="30"/>
        <v>2</v>
      </c>
      <c r="C592" s="75">
        <v>230</v>
      </c>
      <c r="D592" s="15" t="s">
        <v>110</v>
      </c>
      <c r="E592" s="265">
        <v>0</v>
      </c>
      <c r="F592" s="265">
        <v>0</v>
      </c>
      <c r="G592" s="265">
        <v>0</v>
      </c>
      <c r="H592" s="265">
        <v>0</v>
      </c>
      <c r="I592" s="54">
        <f t="shared" si="31"/>
        <v>0</v>
      </c>
    </row>
    <row r="593" spans="1:9" x14ac:dyDescent="0.25">
      <c r="A593" s="75">
        <v>7900</v>
      </c>
      <c r="B593" s="46" t="str">
        <f t="shared" si="30"/>
        <v>2</v>
      </c>
      <c r="C593" s="75">
        <v>240</v>
      </c>
      <c r="D593" s="15" t="s">
        <v>111</v>
      </c>
      <c r="E593" s="265">
        <v>0</v>
      </c>
      <c r="F593" s="265">
        <v>0</v>
      </c>
      <c r="G593" s="265">
        <v>0</v>
      </c>
      <c r="H593" s="265">
        <v>0</v>
      </c>
      <c r="I593" s="54">
        <f t="shared" si="31"/>
        <v>0</v>
      </c>
    </row>
    <row r="594" spans="1:9" x14ac:dyDescent="0.25">
      <c r="A594" s="75">
        <v>7900</v>
      </c>
      <c r="B594" s="46" t="str">
        <f t="shared" si="30"/>
        <v>2</v>
      </c>
      <c r="C594" s="75">
        <v>250</v>
      </c>
      <c r="D594" s="15" t="s">
        <v>112</v>
      </c>
      <c r="E594" s="265">
        <v>0</v>
      </c>
      <c r="F594" s="265">
        <v>0</v>
      </c>
      <c r="G594" s="265">
        <v>0</v>
      </c>
      <c r="H594" s="265">
        <v>0</v>
      </c>
      <c r="I594" s="54">
        <f t="shared" si="31"/>
        <v>0</v>
      </c>
    </row>
    <row r="595" spans="1:9" x14ac:dyDescent="0.25">
      <c r="A595" s="75">
        <v>7900</v>
      </c>
      <c r="B595" s="46" t="str">
        <f t="shared" si="30"/>
        <v>2</v>
      </c>
      <c r="C595" s="75">
        <v>290</v>
      </c>
      <c r="D595" s="15" t="s">
        <v>113</v>
      </c>
      <c r="E595" s="265">
        <v>0</v>
      </c>
      <c r="F595" s="265">
        <v>0</v>
      </c>
      <c r="G595" s="265">
        <v>0</v>
      </c>
      <c r="H595" s="265">
        <v>0</v>
      </c>
      <c r="I595" s="54">
        <f t="shared" si="31"/>
        <v>0</v>
      </c>
    </row>
    <row r="596" spans="1:9" x14ac:dyDescent="0.25">
      <c r="A596" s="75">
        <v>7900</v>
      </c>
      <c r="B596" s="46" t="str">
        <f t="shared" si="30"/>
        <v>3</v>
      </c>
      <c r="C596" s="75">
        <v>310</v>
      </c>
      <c r="D596" s="15" t="s">
        <v>114</v>
      </c>
      <c r="E596" s="265">
        <v>0</v>
      </c>
      <c r="F596" s="265">
        <v>0</v>
      </c>
      <c r="G596" s="265">
        <v>0</v>
      </c>
      <c r="H596" s="265">
        <v>0</v>
      </c>
      <c r="I596" s="54">
        <f t="shared" si="31"/>
        <v>0</v>
      </c>
    </row>
    <row r="597" spans="1:9" x14ac:dyDescent="0.25">
      <c r="A597" s="75">
        <v>7900</v>
      </c>
      <c r="B597" s="46" t="str">
        <f t="shared" si="30"/>
        <v>3</v>
      </c>
      <c r="C597" s="75">
        <v>320</v>
      </c>
      <c r="D597" s="15" t="s">
        <v>115</v>
      </c>
      <c r="E597" s="265">
        <v>30000</v>
      </c>
      <c r="F597" s="265">
        <v>0</v>
      </c>
      <c r="G597" s="265">
        <v>0</v>
      </c>
      <c r="H597" s="265">
        <v>0</v>
      </c>
      <c r="I597" s="54">
        <f t="shared" si="31"/>
        <v>30000</v>
      </c>
    </row>
    <row r="598" spans="1:9" x14ac:dyDescent="0.25">
      <c r="A598" s="75">
        <v>7900</v>
      </c>
      <c r="B598" s="46" t="str">
        <f t="shared" si="30"/>
        <v>3</v>
      </c>
      <c r="C598" s="75">
        <v>330</v>
      </c>
      <c r="D598" s="15" t="s">
        <v>84</v>
      </c>
      <c r="E598" s="265">
        <v>0</v>
      </c>
      <c r="F598" s="265">
        <v>0</v>
      </c>
      <c r="G598" s="265">
        <v>0</v>
      </c>
      <c r="H598" s="265">
        <v>0</v>
      </c>
      <c r="I598" s="54">
        <f t="shared" si="31"/>
        <v>0</v>
      </c>
    </row>
    <row r="599" spans="1:9" x14ac:dyDescent="0.25">
      <c r="A599" s="75">
        <v>7900</v>
      </c>
      <c r="B599" s="46" t="str">
        <f t="shared" si="30"/>
        <v>3</v>
      </c>
      <c r="C599" s="75">
        <v>350</v>
      </c>
      <c r="D599" s="15" t="s">
        <v>116</v>
      </c>
      <c r="E599" s="265">
        <v>0</v>
      </c>
      <c r="F599" s="265">
        <v>5000</v>
      </c>
      <c r="G599" s="265">
        <v>0</v>
      </c>
      <c r="H599" s="265">
        <v>0</v>
      </c>
      <c r="I599" s="54">
        <f t="shared" si="31"/>
        <v>5000</v>
      </c>
    </row>
    <row r="600" spans="1:9" x14ac:dyDescent="0.25">
      <c r="A600" s="75">
        <v>7900</v>
      </c>
      <c r="B600" s="46" t="str">
        <f t="shared" si="30"/>
        <v>3</v>
      </c>
      <c r="C600" s="75">
        <v>360</v>
      </c>
      <c r="D600" s="15" t="s">
        <v>92</v>
      </c>
      <c r="E600" s="265">
        <f>318000-216000+12000+27000-4000</f>
        <v>137000</v>
      </c>
      <c r="F600" s="265">
        <v>4000</v>
      </c>
      <c r="G600" s="265">
        <v>0</v>
      </c>
      <c r="H600" s="265">
        <v>189000</v>
      </c>
      <c r="I600" s="54">
        <f t="shared" si="31"/>
        <v>330000</v>
      </c>
    </row>
    <row r="601" spans="1:9" x14ac:dyDescent="0.25">
      <c r="A601" s="75">
        <v>7900</v>
      </c>
      <c r="B601" s="46" t="str">
        <f t="shared" si="30"/>
        <v>3</v>
      </c>
      <c r="C601" s="75">
        <v>370</v>
      </c>
      <c r="D601" s="15" t="s">
        <v>93</v>
      </c>
      <c r="E601" s="265">
        <v>4800</v>
      </c>
      <c r="F601" s="265">
        <v>0</v>
      </c>
      <c r="G601" s="265">
        <v>0</v>
      </c>
      <c r="H601" s="265">
        <v>0</v>
      </c>
      <c r="I601" s="54">
        <f t="shared" si="31"/>
        <v>4800</v>
      </c>
    </row>
    <row r="602" spans="1:9" x14ac:dyDescent="0.25">
      <c r="A602" s="75">
        <v>7900</v>
      </c>
      <c r="B602" s="46" t="str">
        <f t="shared" si="30"/>
        <v>3</v>
      </c>
      <c r="C602" s="75">
        <v>380</v>
      </c>
      <c r="D602" s="15" t="s">
        <v>117</v>
      </c>
      <c r="E602" s="265">
        <v>4800</v>
      </c>
      <c r="F602" s="265">
        <v>0</v>
      </c>
      <c r="G602" s="265">
        <v>0</v>
      </c>
      <c r="H602" s="265">
        <v>0</v>
      </c>
      <c r="I602" s="54">
        <f t="shared" si="31"/>
        <v>4800</v>
      </c>
    </row>
    <row r="603" spans="1:9" x14ac:dyDescent="0.25">
      <c r="A603" s="75">
        <v>7900</v>
      </c>
      <c r="B603" s="46" t="str">
        <f t="shared" si="30"/>
        <v>3</v>
      </c>
      <c r="C603" s="75">
        <v>390</v>
      </c>
      <c r="D603" s="15" t="s">
        <v>118</v>
      </c>
      <c r="E603" s="265">
        <f>19200+80000</f>
        <v>99200</v>
      </c>
      <c r="F603" s="265">
        <v>0</v>
      </c>
      <c r="G603" s="265">
        <v>0</v>
      </c>
      <c r="H603" s="265">
        <v>0</v>
      </c>
      <c r="I603" s="54">
        <f t="shared" si="31"/>
        <v>99200</v>
      </c>
    </row>
    <row r="604" spans="1:9" x14ac:dyDescent="0.25">
      <c r="A604" s="75">
        <v>7900</v>
      </c>
      <c r="B604" s="46" t="str">
        <f t="shared" si="30"/>
        <v>4</v>
      </c>
      <c r="C604" s="75">
        <v>430</v>
      </c>
      <c r="D604" s="15" t="s">
        <v>119</v>
      </c>
      <c r="E604" s="265">
        <v>17500</v>
      </c>
      <c r="F604" s="265">
        <v>3000</v>
      </c>
      <c r="G604" s="265">
        <v>0</v>
      </c>
      <c r="H604" s="265">
        <v>0</v>
      </c>
      <c r="I604" s="54">
        <f t="shared" si="31"/>
        <v>20500</v>
      </c>
    </row>
    <row r="605" spans="1:9" x14ac:dyDescent="0.25">
      <c r="A605" s="75">
        <v>7900</v>
      </c>
      <c r="B605" s="46" t="str">
        <f t="shared" si="30"/>
        <v>5</v>
      </c>
      <c r="C605" s="75">
        <v>510</v>
      </c>
      <c r="D605" s="15" t="s">
        <v>94</v>
      </c>
      <c r="E605" s="265">
        <v>0</v>
      </c>
      <c r="F605" s="265">
        <v>0</v>
      </c>
      <c r="G605" s="265">
        <v>0</v>
      </c>
      <c r="H605" s="265">
        <v>0</v>
      </c>
      <c r="I605" s="54">
        <f t="shared" si="31"/>
        <v>0</v>
      </c>
    </row>
    <row r="606" spans="1:9" x14ac:dyDescent="0.25">
      <c r="A606" s="75">
        <v>7900</v>
      </c>
      <c r="B606" s="46" t="str">
        <f t="shared" si="30"/>
        <v>5</v>
      </c>
      <c r="C606" s="75">
        <v>520</v>
      </c>
      <c r="D606" s="15" t="s">
        <v>95</v>
      </c>
      <c r="E606" s="265">
        <v>0</v>
      </c>
      <c r="F606" s="265">
        <v>0</v>
      </c>
      <c r="G606" s="265">
        <v>0</v>
      </c>
      <c r="H606" s="265">
        <v>0</v>
      </c>
      <c r="I606" s="54">
        <f t="shared" si="31"/>
        <v>0</v>
      </c>
    </row>
    <row r="607" spans="1:9" x14ac:dyDescent="0.25">
      <c r="A607" s="75">
        <v>7900</v>
      </c>
      <c r="B607" s="46" t="str">
        <f t="shared" si="30"/>
        <v>5</v>
      </c>
      <c r="C607" s="75">
        <v>530</v>
      </c>
      <c r="D607" s="15" t="s">
        <v>120</v>
      </c>
      <c r="E607" s="265">
        <v>0</v>
      </c>
      <c r="F607" s="265">
        <v>0</v>
      </c>
      <c r="G607" s="265">
        <v>0</v>
      </c>
      <c r="H607" s="265">
        <v>0</v>
      </c>
      <c r="I607" s="54">
        <f t="shared" si="31"/>
        <v>0</v>
      </c>
    </row>
    <row r="608" spans="1:9" x14ac:dyDescent="0.25">
      <c r="A608" s="75">
        <v>7900</v>
      </c>
      <c r="B608" s="46" t="str">
        <f t="shared" si="30"/>
        <v>5</v>
      </c>
      <c r="C608" s="75">
        <v>570</v>
      </c>
      <c r="D608" s="15" t="s">
        <v>85</v>
      </c>
      <c r="E608" s="265">
        <v>0</v>
      </c>
      <c r="F608" s="265">
        <v>0</v>
      </c>
      <c r="G608" s="265">
        <v>0</v>
      </c>
      <c r="H608" s="265">
        <v>0</v>
      </c>
      <c r="I608" s="54">
        <f t="shared" si="31"/>
        <v>0</v>
      </c>
    </row>
    <row r="609" spans="1:9" x14ac:dyDescent="0.25">
      <c r="A609" s="75">
        <v>7900</v>
      </c>
      <c r="B609" s="46" t="str">
        <f t="shared" si="30"/>
        <v>5</v>
      </c>
      <c r="C609" s="75">
        <v>590</v>
      </c>
      <c r="D609" s="15" t="s">
        <v>121</v>
      </c>
      <c r="E609" s="265">
        <v>0</v>
      </c>
      <c r="F609" s="265">
        <v>0</v>
      </c>
      <c r="G609" s="265">
        <v>0</v>
      </c>
      <c r="H609" s="265">
        <v>0</v>
      </c>
      <c r="I609" s="54">
        <f t="shared" si="31"/>
        <v>0</v>
      </c>
    </row>
    <row r="610" spans="1:9" x14ac:dyDescent="0.25">
      <c r="A610" s="75">
        <v>7900</v>
      </c>
      <c r="B610" s="46" t="str">
        <f t="shared" si="30"/>
        <v>6</v>
      </c>
      <c r="C610" s="75">
        <v>610</v>
      </c>
      <c r="D610" s="15" t="s">
        <v>122</v>
      </c>
      <c r="E610" s="265">
        <v>0</v>
      </c>
      <c r="F610" s="265">
        <v>0</v>
      </c>
      <c r="G610" s="265">
        <v>0</v>
      </c>
      <c r="H610" s="265">
        <v>0</v>
      </c>
      <c r="I610" s="54">
        <f t="shared" si="31"/>
        <v>0</v>
      </c>
    </row>
    <row r="611" spans="1:9" x14ac:dyDescent="0.25">
      <c r="A611" s="75">
        <v>7900</v>
      </c>
      <c r="B611" s="46" t="str">
        <f t="shared" si="30"/>
        <v>6</v>
      </c>
      <c r="C611" s="75">
        <v>621</v>
      </c>
      <c r="D611" s="15" t="s">
        <v>123</v>
      </c>
      <c r="E611" s="265">
        <v>0</v>
      </c>
      <c r="F611" s="265">
        <v>0</v>
      </c>
      <c r="G611" s="265">
        <v>0</v>
      </c>
      <c r="H611" s="265">
        <v>0</v>
      </c>
      <c r="I611" s="54">
        <f t="shared" si="31"/>
        <v>0</v>
      </c>
    </row>
    <row r="612" spans="1:9" x14ac:dyDescent="0.25">
      <c r="A612" s="75">
        <v>7900</v>
      </c>
      <c r="B612" s="46" t="str">
        <f t="shared" si="30"/>
        <v>6</v>
      </c>
      <c r="C612" s="75">
        <v>622</v>
      </c>
      <c r="D612" s="15" t="s">
        <v>124</v>
      </c>
      <c r="E612" s="265">
        <v>0</v>
      </c>
      <c r="F612" s="265">
        <v>0</v>
      </c>
      <c r="G612" s="265">
        <v>0</v>
      </c>
      <c r="H612" s="265">
        <v>0</v>
      </c>
      <c r="I612" s="54">
        <f t="shared" si="31"/>
        <v>0</v>
      </c>
    </row>
    <row r="613" spans="1:9" x14ac:dyDescent="0.25">
      <c r="A613" s="75">
        <v>7900</v>
      </c>
      <c r="B613" s="46" t="str">
        <f t="shared" si="30"/>
        <v>6</v>
      </c>
      <c r="C613" s="75">
        <v>630</v>
      </c>
      <c r="D613" s="15" t="s">
        <v>125</v>
      </c>
      <c r="E613" s="265">
        <v>0</v>
      </c>
      <c r="F613" s="265">
        <v>0</v>
      </c>
      <c r="G613" s="265">
        <v>0</v>
      </c>
      <c r="H613" s="265">
        <v>0</v>
      </c>
      <c r="I613" s="54">
        <f t="shared" si="31"/>
        <v>0</v>
      </c>
    </row>
    <row r="614" spans="1:9" x14ac:dyDescent="0.25">
      <c r="A614" s="75">
        <v>7900</v>
      </c>
      <c r="B614" s="46" t="str">
        <f t="shared" si="30"/>
        <v>6</v>
      </c>
      <c r="C614" s="75">
        <v>641</v>
      </c>
      <c r="D614" s="15" t="s">
        <v>126</v>
      </c>
      <c r="E614" s="265">
        <v>0</v>
      </c>
      <c r="F614" s="265">
        <v>0</v>
      </c>
      <c r="G614" s="265">
        <v>0</v>
      </c>
      <c r="H614" s="265">
        <v>0</v>
      </c>
      <c r="I614" s="54">
        <f t="shared" si="31"/>
        <v>0</v>
      </c>
    </row>
    <row r="615" spans="1:9" x14ac:dyDescent="0.25">
      <c r="A615" s="75">
        <v>7900</v>
      </c>
      <c r="B615" s="46" t="str">
        <f t="shared" si="30"/>
        <v>6</v>
      </c>
      <c r="C615" s="75">
        <v>642</v>
      </c>
      <c r="D615" s="15" t="s">
        <v>127</v>
      </c>
      <c r="E615" s="265">
        <v>0</v>
      </c>
      <c r="F615" s="265">
        <v>0</v>
      </c>
      <c r="G615" s="265">
        <v>0</v>
      </c>
      <c r="H615" s="265">
        <v>0</v>
      </c>
      <c r="I615" s="54">
        <f t="shared" si="31"/>
        <v>0</v>
      </c>
    </row>
    <row r="616" spans="1:9" x14ac:dyDescent="0.25">
      <c r="A616" s="75">
        <v>7900</v>
      </c>
      <c r="B616" s="46" t="str">
        <f t="shared" si="30"/>
        <v>6</v>
      </c>
      <c r="C616" s="75">
        <v>643</v>
      </c>
      <c r="D616" s="15" t="s">
        <v>128</v>
      </c>
      <c r="E616" s="265">
        <v>0</v>
      </c>
      <c r="F616" s="265">
        <v>0</v>
      </c>
      <c r="G616" s="265">
        <v>0</v>
      </c>
      <c r="H616" s="265">
        <v>0</v>
      </c>
      <c r="I616" s="54">
        <f t="shared" si="31"/>
        <v>0</v>
      </c>
    </row>
    <row r="617" spans="1:9" x14ac:dyDescent="0.25">
      <c r="A617" s="75">
        <v>7900</v>
      </c>
      <c r="B617" s="46" t="str">
        <f t="shared" si="30"/>
        <v>6</v>
      </c>
      <c r="C617" s="75">
        <v>644</v>
      </c>
      <c r="D617" s="15" t="s">
        <v>129</v>
      </c>
      <c r="E617" s="265">
        <v>0</v>
      </c>
      <c r="F617" s="265">
        <v>0</v>
      </c>
      <c r="G617" s="265">
        <v>0</v>
      </c>
      <c r="H617" s="265">
        <v>0</v>
      </c>
      <c r="I617" s="54">
        <f t="shared" si="31"/>
        <v>0</v>
      </c>
    </row>
    <row r="618" spans="1:9" x14ac:dyDescent="0.25">
      <c r="A618" s="75">
        <v>7900</v>
      </c>
      <c r="B618" s="46" t="str">
        <f t="shared" si="30"/>
        <v>6</v>
      </c>
      <c r="C618" s="75">
        <v>680</v>
      </c>
      <c r="D618" s="15" t="s">
        <v>130</v>
      </c>
      <c r="E618" s="265">
        <v>0</v>
      </c>
      <c r="F618" s="265">
        <v>0</v>
      </c>
      <c r="G618" s="265">
        <v>0</v>
      </c>
      <c r="H618" s="265">
        <v>0</v>
      </c>
      <c r="I618" s="54">
        <f t="shared" si="31"/>
        <v>0</v>
      </c>
    </row>
    <row r="619" spans="1:9" x14ac:dyDescent="0.25">
      <c r="A619" s="75">
        <v>7900</v>
      </c>
      <c r="B619" s="46" t="str">
        <f t="shared" si="30"/>
        <v>6</v>
      </c>
      <c r="C619" s="75">
        <v>690</v>
      </c>
      <c r="D619" s="15" t="s">
        <v>131</v>
      </c>
      <c r="E619" s="265">
        <v>0</v>
      </c>
      <c r="F619" s="265">
        <v>0</v>
      </c>
      <c r="G619" s="265">
        <v>0</v>
      </c>
      <c r="H619" s="265">
        <v>0</v>
      </c>
      <c r="I619" s="54">
        <f t="shared" si="31"/>
        <v>0</v>
      </c>
    </row>
    <row r="620" spans="1:9" x14ac:dyDescent="0.25">
      <c r="A620" s="75">
        <v>7900</v>
      </c>
      <c r="B620" s="46" t="str">
        <f t="shared" si="30"/>
        <v>7</v>
      </c>
      <c r="C620" s="75">
        <v>720</v>
      </c>
      <c r="D620" s="15" t="s">
        <v>132</v>
      </c>
      <c r="E620" s="265">
        <v>0</v>
      </c>
      <c r="F620" s="265">
        <v>0</v>
      </c>
      <c r="G620" s="265">
        <v>0</v>
      </c>
      <c r="H620" s="265">
        <v>0</v>
      </c>
      <c r="I620" s="54">
        <f t="shared" si="31"/>
        <v>0</v>
      </c>
    </row>
    <row r="621" spans="1:9" x14ac:dyDescent="0.25">
      <c r="A621" s="75">
        <v>7900</v>
      </c>
      <c r="B621" s="46" t="str">
        <f t="shared" si="30"/>
        <v>7</v>
      </c>
      <c r="C621" s="75">
        <v>730</v>
      </c>
      <c r="D621" s="15" t="s">
        <v>133</v>
      </c>
      <c r="E621" s="265">
        <v>0</v>
      </c>
      <c r="F621" s="265">
        <v>0</v>
      </c>
      <c r="G621" s="265">
        <v>0</v>
      </c>
      <c r="H621" s="265">
        <v>0</v>
      </c>
      <c r="I621" s="54">
        <f t="shared" si="31"/>
        <v>0</v>
      </c>
    </row>
    <row r="622" spans="1:9" x14ac:dyDescent="0.25">
      <c r="A622" s="75">
        <v>7900</v>
      </c>
      <c r="B622" s="46" t="str">
        <f t="shared" si="30"/>
        <v>7</v>
      </c>
      <c r="C622" s="75">
        <v>750</v>
      </c>
      <c r="D622" s="15" t="s">
        <v>134</v>
      </c>
      <c r="E622" s="265">
        <v>0</v>
      </c>
      <c r="F622" s="265">
        <v>0</v>
      </c>
      <c r="G622" s="265">
        <v>0</v>
      </c>
      <c r="H622" s="265">
        <v>0</v>
      </c>
      <c r="I622" s="54">
        <f t="shared" si="31"/>
        <v>0</v>
      </c>
    </row>
    <row r="623" spans="1:9" x14ac:dyDescent="0.25">
      <c r="A623" s="75">
        <v>7900</v>
      </c>
      <c r="B623" s="46" t="str">
        <f t="shared" si="30"/>
        <v>7</v>
      </c>
      <c r="C623" s="75">
        <v>790</v>
      </c>
      <c r="D623" s="15" t="s">
        <v>135</v>
      </c>
      <c r="E623" s="265">
        <v>0</v>
      </c>
      <c r="F623" s="265">
        <v>0</v>
      </c>
      <c r="G623" s="265">
        <v>0</v>
      </c>
      <c r="H623" s="265">
        <v>0</v>
      </c>
      <c r="I623" s="54">
        <f t="shared" si="31"/>
        <v>0</v>
      </c>
    </row>
    <row r="624" spans="1:9" ht="15.5" x14ac:dyDescent="0.35">
      <c r="B624" s="46">
        <v>7900</v>
      </c>
      <c r="D624" s="76" t="s">
        <v>170</v>
      </c>
      <c r="E624" s="77">
        <f>SUM(E584:E623)</f>
        <v>293300</v>
      </c>
      <c r="F624" s="77">
        <f>SUM(F584:F623)</f>
        <v>12000</v>
      </c>
      <c r="G624" s="77">
        <f>SUM(G584:G623)</f>
        <v>0</v>
      </c>
      <c r="H624" s="77">
        <f>SUM(H584:H623)</f>
        <v>189000</v>
      </c>
      <c r="I624" s="77">
        <f>SUM(I584:I623)</f>
        <v>494300</v>
      </c>
    </row>
    <row r="625" spans="1:9" ht="18.5" x14ac:dyDescent="0.45">
      <c r="A625" s="48" t="s">
        <v>174</v>
      </c>
      <c r="B625" s="49"/>
      <c r="C625" s="50"/>
      <c r="D625" s="50"/>
      <c r="E625" s="74"/>
      <c r="F625" s="74"/>
      <c r="G625" s="74"/>
      <c r="H625" s="74"/>
      <c r="I625" s="74"/>
    </row>
    <row r="626" spans="1:9" x14ac:dyDescent="0.25">
      <c r="A626" s="75">
        <v>8100</v>
      </c>
      <c r="B626" s="46" t="str">
        <f t="shared" ref="B626:B665" si="32">LEFT(C626,1)</f>
        <v>1</v>
      </c>
      <c r="C626" s="75">
        <v>110</v>
      </c>
      <c r="D626" s="15" t="s">
        <v>102</v>
      </c>
      <c r="E626" s="265">
        <v>0</v>
      </c>
      <c r="F626" s="265">
        <v>0</v>
      </c>
      <c r="G626" s="265">
        <v>0</v>
      </c>
      <c r="H626" s="265">
        <v>0</v>
      </c>
      <c r="I626" s="54">
        <f t="shared" ref="I626:I665" si="33">SUM(E626:H626)</f>
        <v>0</v>
      </c>
    </row>
    <row r="627" spans="1:9" x14ac:dyDescent="0.25">
      <c r="A627" s="75">
        <v>8100</v>
      </c>
      <c r="B627" s="46" t="str">
        <f t="shared" si="32"/>
        <v>1</v>
      </c>
      <c r="C627" s="75">
        <v>120</v>
      </c>
      <c r="D627" s="15" t="s">
        <v>103</v>
      </c>
      <c r="E627" s="265">
        <v>0</v>
      </c>
      <c r="F627" s="265">
        <v>0</v>
      </c>
      <c r="G627" s="265">
        <v>0</v>
      </c>
      <c r="H627" s="265">
        <v>0</v>
      </c>
      <c r="I627" s="54">
        <f t="shared" si="33"/>
        <v>0</v>
      </c>
    </row>
    <row r="628" spans="1:9" x14ac:dyDescent="0.25">
      <c r="A628" s="75">
        <v>8100</v>
      </c>
      <c r="B628" s="46" t="str">
        <f t="shared" si="32"/>
        <v>1</v>
      </c>
      <c r="C628" s="75">
        <v>130</v>
      </c>
      <c r="D628" s="15" t="s">
        <v>104</v>
      </c>
      <c r="E628" s="265">
        <v>0</v>
      </c>
      <c r="F628" s="265">
        <v>0</v>
      </c>
      <c r="G628" s="265">
        <v>0</v>
      </c>
      <c r="H628" s="265">
        <v>0</v>
      </c>
      <c r="I628" s="54">
        <f t="shared" si="33"/>
        <v>0</v>
      </c>
    </row>
    <row r="629" spans="1:9" x14ac:dyDescent="0.25">
      <c r="A629" s="75">
        <v>8100</v>
      </c>
      <c r="B629" s="46" t="str">
        <f t="shared" si="32"/>
        <v>1</v>
      </c>
      <c r="C629" s="75">
        <v>140</v>
      </c>
      <c r="D629" s="15" t="s">
        <v>105</v>
      </c>
      <c r="E629" s="265">
        <v>0</v>
      </c>
      <c r="F629" s="265">
        <v>0</v>
      </c>
      <c r="G629" s="265">
        <v>0</v>
      </c>
      <c r="H629" s="265">
        <v>0</v>
      </c>
      <c r="I629" s="54">
        <f t="shared" si="33"/>
        <v>0</v>
      </c>
    </row>
    <row r="630" spans="1:9" x14ac:dyDescent="0.25">
      <c r="A630" s="75">
        <v>8100</v>
      </c>
      <c r="B630" s="46" t="str">
        <f t="shared" si="32"/>
        <v>1</v>
      </c>
      <c r="C630" s="75">
        <v>150</v>
      </c>
      <c r="D630" s="15" t="s">
        <v>106</v>
      </c>
      <c r="E630" s="265">
        <v>0</v>
      </c>
      <c r="F630" s="265">
        <v>0</v>
      </c>
      <c r="G630" s="265">
        <v>0</v>
      </c>
      <c r="H630" s="265">
        <v>0</v>
      </c>
      <c r="I630" s="54">
        <f t="shared" si="33"/>
        <v>0</v>
      </c>
    </row>
    <row r="631" spans="1:9" x14ac:dyDescent="0.25">
      <c r="A631" s="75">
        <v>8100</v>
      </c>
      <c r="B631" s="46" t="str">
        <f t="shared" si="32"/>
        <v>1</v>
      </c>
      <c r="C631" s="75">
        <v>160</v>
      </c>
      <c r="D631" s="15" t="s">
        <v>107</v>
      </c>
      <c r="E631" s="265">
        <v>0</v>
      </c>
      <c r="F631" s="265">
        <v>0</v>
      </c>
      <c r="G631" s="265">
        <v>0</v>
      </c>
      <c r="H631" s="265">
        <v>0</v>
      </c>
      <c r="I631" s="54">
        <f t="shared" si="33"/>
        <v>0</v>
      </c>
    </row>
    <row r="632" spans="1:9" x14ac:dyDescent="0.25">
      <c r="A632" s="75">
        <v>8100</v>
      </c>
      <c r="B632" s="46" t="str">
        <f t="shared" si="32"/>
        <v>2</v>
      </c>
      <c r="C632" s="75">
        <v>210</v>
      </c>
      <c r="D632" s="15" t="s">
        <v>108</v>
      </c>
      <c r="E632" s="265">
        <v>0</v>
      </c>
      <c r="F632" s="265">
        <v>0</v>
      </c>
      <c r="G632" s="265">
        <v>0</v>
      </c>
      <c r="H632" s="265">
        <v>0</v>
      </c>
      <c r="I632" s="54">
        <f t="shared" si="33"/>
        <v>0</v>
      </c>
    </row>
    <row r="633" spans="1:9" x14ac:dyDescent="0.25">
      <c r="A633" s="75">
        <v>8100</v>
      </c>
      <c r="B633" s="46" t="str">
        <f t="shared" si="32"/>
        <v>2</v>
      </c>
      <c r="C633" s="75">
        <v>220</v>
      </c>
      <c r="D633" s="15" t="s">
        <v>109</v>
      </c>
      <c r="E633" s="265">
        <v>0</v>
      </c>
      <c r="F633" s="265">
        <v>0</v>
      </c>
      <c r="G633" s="265">
        <v>0</v>
      </c>
      <c r="H633" s="265">
        <v>0</v>
      </c>
      <c r="I633" s="54">
        <f t="shared" si="33"/>
        <v>0</v>
      </c>
    </row>
    <row r="634" spans="1:9" x14ac:dyDescent="0.25">
      <c r="A634" s="75">
        <v>8100</v>
      </c>
      <c r="B634" s="46" t="str">
        <f t="shared" si="32"/>
        <v>2</v>
      </c>
      <c r="C634" s="75">
        <v>230</v>
      </c>
      <c r="D634" s="15" t="s">
        <v>110</v>
      </c>
      <c r="E634" s="265">
        <v>0</v>
      </c>
      <c r="F634" s="265">
        <v>0</v>
      </c>
      <c r="G634" s="265">
        <v>0</v>
      </c>
      <c r="H634" s="265">
        <v>0</v>
      </c>
      <c r="I634" s="54">
        <f t="shared" si="33"/>
        <v>0</v>
      </c>
    </row>
    <row r="635" spans="1:9" x14ac:dyDescent="0.25">
      <c r="A635" s="75">
        <v>8100</v>
      </c>
      <c r="B635" s="46" t="str">
        <f t="shared" si="32"/>
        <v>2</v>
      </c>
      <c r="C635" s="75">
        <v>240</v>
      </c>
      <c r="D635" s="15" t="s">
        <v>111</v>
      </c>
      <c r="E635" s="265">
        <v>0</v>
      </c>
      <c r="F635" s="265">
        <v>0</v>
      </c>
      <c r="G635" s="265">
        <v>0</v>
      </c>
      <c r="H635" s="265">
        <v>0</v>
      </c>
      <c r="I635" s="54">
        <f t="shared" si="33"/>
        <v>0</v>
      </c>
    </row>
    <row r="636" spans="1:9" x14ac:dyDescent="0.25">
      <c r="A636" s="75">
        <v>8100</v>
      </c>
      <c r="B636" s="46" t="str">
        <f t="shared" si="32"/>
        <v>2</v>
      </c>
      <c r="C636" s="75">
        <v>250</v>
      </c>
      <c r="D636" s="15" t="s">
        <v>112</v>
      </c>
      <c r="E636" s="265">
        <v>0</v>
      </c>
      <c r="F636" s="265">
        <v>0</v>
      </c>
      <c r="G636" s="265">
        <v>0</v>
      </c>
      <c r="H636" s="265">
        <v>0</v>
      </c>
      <c r="I636" s="54">
        <f t="shared" si="33"/>
        <v>0</v>
      </c>
    </row>
    <row r="637" spans="1:9" x14ac:dyDescent="0.25">
      <c r="A637" s="75">
        <v>8100</v>
      </c>
      <c r="B637" s="46" t="str">
        <f t="shared" si="32"/>
        <v>2</v>
      </c>
      <c r="C637" s="75">
        <v>290</v>
      </c>
      <c r="D637" s="15" t="s">
        <v>113</v>
      </c>
      <c r="E637" s="265">
        <v>0</v>
      </c>
      <c r="F637" s="265">
        <v>0</v>
      </c>
      <c r="G637" s="265">
        <v>0</v>
      </c>
      <c r="H637" s="265">
        <v>0</v>
      </c>
      <c r="I637" s="54">
        <f t="shared" si="33"/>
        <v>0</v>
      </c>
    </row>
    <row r="638" spans="1:9" x14ac:dyDescent="0.25">
      <c r="A638" s="75">
        <v>8100</v>
      </c>
      <c r="B638" s="46" t="str">
        <f t="shared" si="32"/>
        <v>3</v>
      </c>
      <c r="C638" s="75">
        <v>310</v>
      </c>
      <c r="D638" s="15" t="s">
        <v>114</v>
      </c>
      <c r="E638" s="265">
        <v>0</v>
      </c>
      <c r="F638" s="265">
        <v>0</v>
      </c>
      <c r="G638" s="265">
        <v>0</v>
      </c>
      <c r="H638" s="265">
        <v>0</v>
      </c>
      <c r="I638" s="54">
        <f t="shared" si="33"/>
        <v>0</v>
      </c>
    </row>
    <row r="639" spans="1:9" x14ac:dyDescent="0.25">
      <c r="A639" s="75">
        <v>8100</v>
      </c>
      <c r="B639" s="46" t="str">
        <f t="shared" si="32"/>
        <v>3</v>
      </c>
      <c r="C639" s="75">
        <v>320</v>
      </c>
      <c r="D639" s="15" t="s">
        <v>115</v>
      </c>
      <c r="E639" s="265">
        <v>0</v>
      </c>
      <c r="F639" s="265">
        <v>0</v>
      </c>
      <c r="G639" s="265">
        <v>0</v>
      </c>
      <c r="H639" s="265">
        <v>0</v>
      </c>
      <c r="I639" s="54">
        <f t="shared" si="33"/>
        <v>0</v>
      </c>
    </row>
    <row r="640" spans="1:9" x14ac:dyDescent="0.25">
      <c r="A640" s="75">
        <v>8100</v>
      </c>
      <c r="B640" s="46" t="str">
        <f t="shared" si="32"/>
        <v>3</v>
      </c>
      <c r="C640" s="75">
        <v>330</v>
      </c>
      <c r="D640" s="15" t="s">
        <v>84</v>
      </c>
      <c r="E640" s="265">
        <v>0</v>
      </c>
      <c r="F640" s="265">
        <v>0</v>
      </c>
      <c r="G640" s="265">
        <v>0</v>
      </c>
      <c r="H640" s="265">
        <v>0</v>
      </c>
      <c r="I640" s="54">
        <f t="shared" si="33"/>
        <v>0</v>
      </c>
    </row>
    <row r="641" spans="1:9" x14ac:dyDescent="0.25">
      <c r="A641" s="75">
        <v>8100</v>
      </c>
      <c r="B641" s="46" t="str">
        <f t="shared" si="32"/>
        <v>3</v>
      </c>
      <c r="C641" s="75">
        <v>350</v>
      </c>
      <c r="D641" s="15" t="s">
        <v>116</v>
      </c>
      <c r="E641" s="265">
        <v>18000</v>
      </c>
      <c r="F641" s="265">
        <v>0</v>
      </c>
      <c r="G641" s="265">
        <v>0</v>
      </c>
      <c r="H641" s="265">
        <v>0</v>
      </c>
      <c r="I641" s="54">
        <f t="shared" si="33"/>
        <v>18000</v>
      </c>
    </row>
    <row r="642" spans="1:9" x14ac:dyDescent="0.25">
      <c r="A642" s="75">
        <v>8100</v>
      </c>
      <c r="B642" s="46" t="str">
        <f t="shared" si="32"/>
        <v>3</v>
      </c>
      <c r="C642" s="75">
        <v>360</v>
      </c>
      <c r="D642" s="15" t="s">
        <v>92</v>
      </c>
      <c r="E642" s="265">
        <v>0</v>
      </c>
      <c r="F642" s="265">
        <v>0</v>
      </c>
      <c r="G642" s="265">
        <v>0</v>
      </c>
      <c r="H642" s="265">
        <v>0</v>
      </c>
      <c r="I642" s="54">
        <f t="shared" si="33"/>
        <v>0</v>
      </c>
    </row>
    <row r="643" spans="1:9" x14ac:dyDescent="0.25">
      <c r="A643" s="75">
        <v>8100</v>
      </c>
      <c r="B643" s="46" t="str">
        <f t="shared" si="32"/>
        <v>3</v>
      </c>
      <c r="C643" s="75">
        <v>370</v>
      </c>
      <c r="D643" s="15" t="s">
        <v>93</v>
      </c>
      <c r="E643" s="265">
        <v>0</v>
      </c>
      <c r="F643" s="265">
        <v>0</v>
      </c>
      <c r="G643" s="265">
        <v>0</v>
      </c>
      <c r="H643" s="265">
        <v>0</v>
      </c>
      <c r="I643" s="54">
        <f t="shared" si="33"/>
        <v>0</v>
      </c>
    </row>
    <row r="644" spans="1:9" x14ac:dyDescent="0.25">
      <c r="A644" s="75">
        <v>8100</v>
      </c>
      <c r="B644" s="46" t="str">
        <f t="shared" si="32"/>
        <v>3</v>
      </c>
      <c r="C644" s="75">
        <v>380</v>
      </c>
      <c r="D644" s="15" t="s">
        <v>117</v>
      </c>
      <c r="E644" s="265">
        <v>0</v>
      </c>
      <c r="F644" s="265">
        <v>0</v>
      </c>
      <c r="G644" s="265">
        <v>0</v>
      </c>
      <c r="H644" s="265">
        <v>0</v>
      </c>
      <c r="I644" s="54">
        <f t="shared" si="33"/>
        <v>0</v>
      </c>
    </row>
    <row r="645" spans="1:9" x14ac:dyDescent="0.25">
      <c r="A645" s="75">
        <v>8100</v>
      </c>
      <c r="B645" s="46" t="str">
        <f t="shared" si="32"/>
        <v>3</v>
      </c>
      <c r="C645" s="75">
        <v>390</v>
      </c>
      <c r="D645" s="15" t="s">
        <v>118</v>
      </c>
      <c r="E645" s="265">
        <v>0</v>
      </c>
      <c r="F645" s="265">
        <v>0</v>
      </c>
      <c r="G645" s="265">
        <v>0</v>
      </c>
      <c r="H645" s="265">
        <v>0</v>
      </c>
      <c r="I645" s="54">
        <f t="shared" si="33"/>
        <v>0</v>
      </c>
    </row>
    <row r="646" spans="1:9" x14ac:dyDescent="0.25">
      <c r="A646" s="75">
        <v>8100</v>
      </c>
      <c r="B646" s="46" t="str">
        <f t="shared" si="32"/>
        <v>4</v>
      </c>
      <c r="C646" s="75">
        <v>430</v>
      </c>
      <c r="D646" s="15" t="s">
        <v>119</v>
      </c>
      <c r="E646" s="265">
        <v>0</v>
      </c>
      <c r="F646" s="265">
        <v>0</v>
      </c>
      <c r="G646" s="265">
        <v>0</v>
      </c>
      <c r="H646" s="265">
        <v>0</v>
      </c>
      <c r="I646" s="54">
        <f t="shared" si="33"/>
        <v>0</v>
      </c>
    </row>
    <row r="647" spans="1:9" x14ac:dyDescent="0.25">
      <c r="A647" s="75">
        <v>8100</v>
      </c>
      <c r="B647" s="46" t="str">
        <f t="shared" si="32"/>
        <v>5</v>
      </c>
      <c r="C647" s="75">
        <v>510</v>
      </c>
      <c r="D647" s="15" t="s">
        <v>94</v>
      </c>
      <c r="E647" s="265">
        <v>0</v>
      </c>
      <c r="F647" s="265">
        <v>0</v>
      </c>
      <c r="G647" s="265">
        <v>0</v>
      </c>
      <c r="H647" s="265">
        <v>0</v>
      </c>
      <c r="I647" s="54">
        <f t="shared" si="33"/>
        <v>0</v>
      </c>
    </row>
    <row r="648" spans="1:9" x14ac:dyDescent="0.25">
      <c r="A648" s="75">
        <v>8100</v>
      </c>
      <c r="B648" s="46" t="str">
        <f t="shared" si="32"/>
        <v>5</v>
      </c>
      <c r="C648" s="75">
        <v>520</v>
      </c>
      <c r="D648" s="15" t="s">
        <v>95</v>
      </c>
      <c r="E648" s="265">
        <v>0</v>
      </c>
      <c r="F648" s="265">
        <v>0</v>
      </c>
      <c r="G648" s="265">
        <v>0</v>
      </c>
      <c r="H648" s="265">
        <v>0</v>
      </c>
      <c r="I648" s="54">
        <f t="shared" si="33"/>
        <v>0</v>
      </c>
    </row>
    <row r="649" spans="1:9" x14ac:dyDescent="0.25">
      <c r="A649" s="75">
        <v>8100</v>
      </c>
      <c r="B649" s="46" t="str">
        <f t="shared" si="32"/>
        <v>5</v>
      </c>
      <c r="C649" s="75">
        <v>530</v>
      </c>
      <c r="D649" s="15" t="s">
        <v>120</v>
      </c>
      <c r="E649" s="265">
        <v>0</v>
      </c>
      <c r="F649" s="265">
        <v>0</v>
      </c>
      <c r="G649" s="265">
        <v>0</v>
      </c>
      <c r="H649" s="265">
        <v>0</v>
      </c>
      <c r="I649" s="54">
        <f t="shared" si="33"/>
        <v>0</v>
      </c>
    </row>
    <row r="650" spans="1:9" x14ac:dyDescent="0.25">
      <c r="A650" s="75">
        <v>8100</v>
      </c>
      <c r="B650" s="46" t="str">
        <f t="shared" si="32"/>
        <v>5</v>
      </c>
      <c r="C650" s="75">
        <v>570</v>
      </c>
      <c r="D650" s="15" t="s">
        <v>85</v>
      </c>
      <c r="E650" s="265">
        <v>0</v>
      </c>
      <c r="F650" s="265">
        <v>0</v>
      </c>
      <c r="G650" s="265">
        <v>0</v>
      </c>
      <c r="H650" s="265">
        <v>0</v>
      </c>
      <c r="I650" s="54">
        <f t="shared" si="33"/>
        <v>0</v>
      </c>
    </row>
    <row r="651" spans="1:9" x14ac:dyDescent="0.25">
      <c r="A651" s="75">
        <v>8100</v>
      </c>
      <c r="B651" s="46" t="str">
        <f t="shared" si="32"/>
        <v>5</v>
      </c>
      <c r="C651" s="75">
        <v>590</v>
      </c>
      <c r="D651" s="15" t="s">
        <v>121</v>
      </c>
      <c r="E651" s="265">
        <v>0</v>
      </c>
      <c r="F651" s="265">
        <v>0</v>
      </c>
      <c r="G651" s="265">
        <v>0</v>
      </c>
      <c r="H651" s="265">
        <v>0</v>
      </c>
      <c r="I651" s="54">
        <f t="shared" si="33"/>
        <v>0</v>
      </c>
    </row>
    <row r="652" spans="1:9" x14ac:dyDescent="0.25">
      <c r="A652" s="75">
        <v>8100</v>
      </c>
      <c r="B652" s="46" t="str">
        <f t="shared" si="32"/>
        <v>6</v>
      </c>
      <c r="C652" s="75">
        <v>610</v>
      </c>
      <c r="D652" s="15" t="s">
        <v>122</v>
      </c>
      <c r="E652" s="265">
        <v>0</v>
      </c>
      <c r="F652" s="265">
        <v>0</v>
      </c>
      <c r="G652" s="265">
        <v>0</v>
      </c>
      <c r="H652" s="265">
        <v>0</v>
      </c>
      <c r="I652" s="54">
        <f t="shared" si="33"/>
        <v>0</v>
      </c>
    </row>
    <row r="653" spans="1:9" x14ac:dyDescent="0.25">
      <c r="A653" s="75">
        <v>8100</v>
      </c>
      <c r="B653" s="46" t="str">
        <f t="shared" si="32"/>
        <v>6</v>
      </c>
      <c r="C653" s="75">
        <v>621</v>
      </c>
      <c r="D653" s="15" t="s">
        <v>123</v>
      </c>
      <c r="E653" s="265">
        <v>0</v>
      </c>
      <c r="F653" s="265">
        <v>0</v>
      </c>
      <c r="G653" s="265">
        <v>0</v>
      </c>
      <c r="H653" s="265">
        <v>0</v>
      </c>
      <c r="I653" s="54">
        <f t="shared" si="33"/>
        <v>0</v>
      </c>
    </row>
    <row r="654" spans="1:9" x14ac:dyDescent="0.25">
      <c r="A654" s="75">
        <v>8100</v>
      </c>
      <c r="B654" s="46" t="str">
        <f t="shared" si="32"/>
        <v>6</v>
      </c>
      <c r="C654" s="75">
        <v>622</v>
      </c>
      <c r="D654" s="15" t="s">
        <v>124</v>
      </c>
      <c r="E654" s="265">
        <v>0</v>
      </c>
      <c r="F654" s="265">
        <v>0</v>
      </c>
      <c r="G654" s="265">
        <v>0</v>
      </c>
      <c r="H654" s="265">
        <v>0</v>
      </c>
      <c r="I654" s="54">
        <f t="shared" si="33"/>
        <v>0</v>
      </c>
    </row>
    <row r="655" spans="1:9" x14ac:dyDescent="0.25">
      <c r="A655" s="75">
        <v>8100</v>
      </c>
      <c r="B655" s="46" t="str">
        <f t="shared" si="32"/>
        <v>6</v>
      </c>
      <c r="C655" s="75">
        <v>630</v>
      </c>
      <c r="D655" s="15" t="s">
        <v>125</v>
      </c>
      <c r="E655" s="265">
        <v>0</v>
      </c>
      <c r="F655" s="265">
        <v>0</v>
      </c>
      <c r="G655" s="265">
        <v>0</v>
      </c>
      <c r="H655" s="265">
        <v>0</v>
      </c>
      <c r="I655" s="54">
        <f t="shared" si="33"/>
        <v>0</v>
      </c>
    </row>
    <row r="656" spans="1:9" x14ac:dyDescent="0.25">
      <c r="A656" s="75">
        <v>8100</v>
      </c>
      <c r="B656" s="46" t="str">
        <f t="shared" si="32"/>
        <v>6</v>
      </c>
      <c r="C656" s="75">
        <v>641</v>
      </c>
      <c r="D656" s="15" t="s">
        <v>126</v>
      </c>
      <c r="E656" s="265">
        <v>0</v>
      </c>
      <c r="F656" s="265">
        <v>0</v>
      </c>
      <c r="G656" s="265">
        <v>0</v>
      </c>
      <c r="H656" s="265">
        <v>0</v>
      </c>
      <c r="I656" s="54">
        <f t="shared" si="33"/>
        <v>0</v>
      </c>
    </row>
    <row r="657" spans="1:9" x14ac:dyDescent="0.25">
      <c r="A657" s="75">
        <v>8100</v>
      </c>
      <c r="B657" s="46" t="str">
        <f t="shared" si="32"/>
        <v>6</v>
      </c>
      <c r="C657" s="75">
        <v>642</v>
      </c>
      <c r="D657" s="15" t="s">
        <v>127</v>
      </c>
      <c r="E657" s="265">
        <v>0</v>
      </c>
      <c r="F657" s="265">
        <v>0</v>
      </c>
      <c r="G657" s="265">
        <v>0</v>
      </c>
      <c r="H657" s="265">
        <v>0</v>
      </c>
      <c r="I657" s="54">
        <f t="shared" si="33"/>
        <v>0</v>
      </c>
    </row>
    <row r="658" spans="1:9" x14ac:dyDescent="0.25">
      <c r="A658" s="75">
        <v>8100</v>
      </c>
      <c r="B658" s="46" t="str">
        <f t="shared" si="32"/>
        <v>6</v>
      </c>
      <c r="C658" s="75">
        <v>643</v>
      </c>
      <c r="D658" s="15" t="s">
        <v>128</v>
      </c>
      <c r="E658" s="265">
        <v>0</v>
      </c>
      <c r="F658" s="265">
        <v>0</v>
      </c>
      <c r="G658" s="265">
        <v>0</v>
      </c>
      <c r="H658" s="265">
        <v>0</v>
      </c>
      <c r="I658" s="54">
        <f t="shared" si="33"/>
        <v>0</v>
      </c>
    </row>
    <row r="659" spans="1:9" x14ac:dyDescent="0.25">
      <c r="A659" s="75">
        <v>8100</v>
      </c>
      <c r="B659" s="46" t="str">
        <f t="shared" si="32"/>
        <v>6</v>
      </c>
      <c r="C659" s="75">
        <v>644</v>
      </c>
      <c r="D659" s="15" t="s">
        <v>129</v>
      </c>
      <c r="E659" s="265">
        <v>0</v>
      </c>
      <c r="F659" s="265">
        <v>0</v>
      </c>
      <c r="G659" s="265">
        <v>0</v>
      </c>
      <c r="H659" s="265">
        <v>0</v>
      </c>
      <c r="I659" s="54">
        <f t="shared" si="33"/>
        <v>0</v>
      </c>
    </row>
    <row r="660" spans="1:9" x14ac:dyDescent="0.25">
      <c r="A660" s="75">
        <v>8100</v>
      </c>
      <c r="B660" s="46" t="str">
        <f t="shared" si="32"/>
        <v>6</v>
      </c>
      <c r="C660" s="75">
        <v>680</v>
      </c>
      <c r="D660" s="15" t="s">
        <v>130</v>
      </c>
      <c r="E660" s="265">
        <v>0</v>
      </c>
      <c r="F660" s="265">
        <v>0</v>
      </c>
      <c r="G660" s="265">
        <v>0</v>
      </c>
      <c r="H660" s="265">
        <v>0</v>
      </c>
      <c r="I660" s="54">
        <f t="shared" si="33"/>
        <v>0</v>
      </c>
    </row>
    <row r="661" spans="1:9" x14ac:dyDescent="0.25">
      <c r="A661" s="75">
        <v>8100</v>
      </c>
      <c r="B661" s="46" t="str">
        <f t="shared" si="32"/>
        <v>6</v>
      </c>
      <c r="C661" s="75">
        <v>690</v>
      </c>
      <c r="D661" s="15" t="s">
        <v>131</v>
      </c>
      <c r="E661" s="265">
        <v>0</v>
      </c>
      <c r="F661" s="265">
        <v>0</v>
      </c>
      <c r="G661" s="265">
        <v>0</v>
      </c>
      <c r="H661" s="265">
        <v>0</v>
      </c>
      <c r="I661" s="54">
        <f t="shared" si="33"/>
        <v>0</v>
      </c>
    </row>
    <row r="662" spans="1:9" x14ac:dyDescent="0.25">
      <c r="A662" s="75">
        <v>8100</v>
      </c>
      <c r="B662" s="46" t="str">
        <f t="shared" si="32"/>
        <v>7</v>
      </c>
      <c r="C662" s="75">
        <v>720</v>
      </c>
      <c r="D662" s="15" t="s">
        <v>132</v>
      </c>
      <c r="E662" s="265">
        <v>0</v>
      </c>
      <c r="F662" s="265">
        <v>0</v>
      </c>
      <c r="G662" s="265">
        <v>0</v>
      </c>
      <c r="H662" s="265">
        <v>0</v>
      </c>
      <c r="I662" s="54">
        <f t="shared" si="33"/>
        <v>0</v>
      </c>
    </row>
    <row r="663" spans="1:9" x14ac:dyDescent="0.25">
      <c r="A663" s="75">
        <v>8100</v>
      </c>
      <c r="B663" s="46" t="str">
        <f t="shared" si="32"/>
        <v>7</v>
      </c>
      <c r="C663" s="75">
        <v>730</v>
      </c>
      <c r="D663" s="15" t="s">
        <v>133</v>
      </c>
      <c r="E663" s="265">
        <v>0</v>
      </c>
      <c r="F663" s="265">
        <v>0</v>
      </c>
      <c r="G663" s="265">
        <v>0</v>
      </c>
      <c r="H663" s="265">
        <v>0</v>
      </c>
      <c r="I663" s="54">
        <f t="shared" si="33"/>
        <v>0</v>
      </c>
    </row>
    <row r="664" spans="1:9" x14ac:dyDescent="0.25">
      <c r="A664" s="75">
        <v>8100</v>
      </c>
      <c r="B664" s="46" t="str">
        <f t="shared" si="32"/>
        <v>7</v>
      </c>
      <c r="C664" s="75">
        <v>750</v>
      </c>
      <c r="D664" s="15" t="s">
        <v>134</v>
      </c>
      <c r="E664" s="265">
        <v>0</v>
      </c>
      <c r="F664" s="265">
        <v>0</v>
      </c>
      <c r="G664" s="265">
        <v>0</v>
      </c>
      <c r="H664" s="265">
        <v>0</v>
      </c>
      <c r="I664" s="54">
        <f t="shared" si="33"/>
        <v>0</v>
      </c>
    </row>
    <row r="665" spans="1:9" x14ac:dyDescent="0.25">
      <c r="A665" s="75">
        <v>8100</v>
      </c>
      <c r="B665" s="46" t="str">
        <f t="shared" si="32"/>
        <v>7</v>
      </c>
      <c r="C665" s="75">
        <v>790</v>
      </c>
      <c r="D665" s="15" t="s">
        <v>135</v>
      </c>
      <c r="E665" s="265">
        <v>0</v>
      </c>
      <c r="F665" s="265">
        <v>0</v>
      </c>
      <c r="G665" s="265">
        <v>0</v>
      </c>
      <c r="H665" s="265">
        <v>0</v>
      </c>
      <c r="I665" s="54">
        <f t="shared" si="33"/>
        <v>0</v>
      </c>
    </row>
    <row r="666" spans="1:9" ht="15.5" x14ac:dyDescent="0.35">
      <c r="B666" s="46">
        <v>8100</v>
      </c>
      <c r="D666" s="76" t="s">
        <v>175</v>
      </c>
      <c r="E666" s="77">
        <f>SUM(E626:E665)</f>
        <v>18000</v>
      </c>
      <c r="F666" s="77">
        <f>SUM(F626:F665)</f>
        <v>0</v>
      </c>
      <c r="G666" s="77">
        <f>SUM(G626:G665)</f>
        <v>0</v>
      </c>
      <c r="H666" s="77">
        <f>SUM(H626:H665)</f>
        <v>0</v>
      </c>
      <c r="I666" s="77">
        <f>SUM(I626:I665)</f>
        <v>18000</v>
      </c>
    </row>
    <row r="667" spans="1:9" ht="18.5" x14ac:dyDescent="0.45">
      <c r="A667" s="48" t="s">
        <v>176</v>
      </c>
      <c r="B667" s="49"/>
      <c r="C667" s="50"/>
      <c r="D667" s="50"/>
      <c r="E667" s="74"/>
      <c r="F667" s="74"/>
      <c r="G667" s="74"/>
      <c r="H667" s="74"/>
      <c r="I667" s="74"/>
    </row>
    <row r="668" spans="1:9" x14ac:dyDescent="0.25">
      <c r="A668" s="75">
        <v>8200</v>
      </c>
      <c r="B668" s="46" t="str">
        <f t="shared" ref="B668:B707" si="34">LEFT(C668,1)</f>
        <v>1</v>
      </c>
      <c r="C668" s="75">
        <v>110</v>
      </c>
      <c r="D668" s="15" t="s">
        <v>102</v>
      </c>
      <c r="E668" s="265">
        <v>0</v>
      </c>
      <c r="F668" s="265">
        <v>0</v>
      </c>
      <c r="G668" s="265">
        <v>0</v>
      </c>
      <c r="H668" s="265">
        <v>0</v>
      </c>
      <c r="I668" s="54">
        <f t="shared" ref="I668:I707" si="35">SUM(E668:H668)</f>
        <v>0</v>
      </c>
    </row>
    <row r="669" spans="1:9" x14ac:dyDescent="0.25">
      <c r="A669" s="75">
        <v>8200</v>
      </c>
      <c r="B669" s="46" t="str">
        <f t="shared" si="34"/>
        <v>1</v>
      </c>
      <c r="C669" s="75">
        <v>120</v>
      </c>
      <c r="D669" s="15" t="s">
        <v>103</v>
      </c>
      <c r="E669" s="265">
        <v>0</v>
      </c>
      <c r="F669" s="265">
        <v>0</v>
      </c>
      <c r="G669" s="265">
        <v>0</v>
      </c>
      <c r="H669" s="265">
        <v>0</v>
      </c>
      <c r="I669" s="54">
        <f t="shared" si="35"/>
        <v>0</v>
      </c>
    </row>
    <row r="670" spans="1:9" x14ac:dyDescent="0.25">
      <c r="A670" s="75">
        <v>8200</v>
      </c>
      <c r="B670" s="46" t="str">
        <f t="shared" si="34"/>
        <v>1</v>
      </c>
      <c r="C670" s="75">
        <v>130</v>
      </c>
      <c r="D670" s="15" t="s">
        <v>104</v>
      </c>
      <c r="E670" s="265">
        <v>0</v>
      </c>
      <c r="F670" s="265">
        <v>0</v>
      </c>
      <c r="G670" s="265">
        <v>0</v>
      </c>
      <c r="H670" s="265">
        <v>0</v>
      </c>
      <c r="I670" s="54">
        <f t="shared" si="35"/>
        <v>0</v>
      </c>
    </row>
    <row r="671" spans="1:9" x14ac:dyDescent="0.25">
      <c r="A671" s="75">
        <v>8200</v>
      </c>
      <c r="B671" s="46" t="str">
        <f t="shared" si="34"/>
        <v>1</v>
      </c>
      <c r="C671" s="75">
        <v>140</v>
      </c>
      <c r="D671" s="15" t="s">
        <v>105</v>
      </c>
      <c r="E671" s="265">
        <v>0</v>
      </c>
      <c r="F671" s="265">
        <v>0</v>
      </c>
      <c r="G671" s="265">
        <v>0</v>
      </c>
      <c r="H671" s="265">
        <v>0</v>
      </c>
      <c r="I671" s="54">
        <f t="shared" si="35"/>
        <v>0</v>
      </c>
    </row>
    <row r="672" spans="1:9" x14ac:dyDescent="0.25">
      <c r="A672" s="75">
        <v>8200</v>
      </c>
      <c r="B672" s="46" t="str">
        <f t="shared" si="34"/>
        <v>1</v>
      </c>
      <c r="C672" s="75">
        <v>150</v>
      </c>
      <c r="D672" s="15" t="s">
        <v>106</v>
      </c>
      <c r="E672" s="265">
        <v>0</v>
      </c>
      <c r="F672" s="265">
        <v>0</v>
      </c>
      <c r="G672" s="265">
        <v>0</v>
      </c>
      <c r="H672" s="265">
        <v>0</v>
      </c>
      <c r="I672" s="54">
        <f t="shared" si="35"/>
        <v>0</v>
      </c>
    </row>
    <row r="673" spans="1:9" x14ac:dyDescent="0.25">
      <c r="A673" s="75">
        <v>8200</v>
      </c>
      <c r="B673" s="46" t="str">
        <f t="shared" si="34"/>
        <v>1</v>
      </c>
      <c r="C673" s="75">
        <v>160</v>
      </c>
      <c r="D673" s="15" t="s">
        <v>107</v>
      </c>
      <c r="E673" s="265">
        <v>0</v>
      </c>
      <c r="F673" s="265">
        <v>0</v>
      </c>
      <c r="G673" s="265">
        <v>0</v>
      </c>
      <c r="H673" s="265">
        <v>0</v>
      </c>
      <c r="I673" s="54">
        <f t="shared" si="35"/>
        <v>0</v>
      </c>
    </row>
    <row r="674" spans="1:9" x14ac:dyDescent="0.25">
      <c r="A674" s="75">
        <v>8200</v>
      </c>
      <c r="B674" s="46" t="str">
        <f t="shared" si="34"/>
        <v>2</v>
      </c>
      <c r="C674" s="75">
        <v>210</v>
      </c>
      <c r="D674" s="15" t="s">
        <v>108</v>
      </c>
      <c r="E674" s="265">
        <v>0</v>
      </c>
      <c r="F674" s="265">
        <v>0</v>
      </c>
      <c r="G674" s="265">
        <v>0</v>
      </c>
      <c r="H674" s="265">
        <v>0</v>
      </c>
      <c r="I674" s="54">
        <f t="shared" si="35"/>
        <v>0</v>
      </c>
    </row>
    <row r="675" spans="1:9" x14ac:dyDescent="0.25">
      <c r="A675" s="75">
        <v>8200</v>
      </c>
      <c r="B675" s="46" t="str">
        <f t="shared" si="34"/>
        <v>2</v>
      </c>
      <c r="C675" s="75">
        <v>220</v>
      </c>
      <c r="D675" s="15" t="s">
        <v>109</v>
      </c>
      <c r="E675" s="265">
        <v>0</v>
      </c>
      <c r="F675" s="265">
        <v>0</v>
      </c>
      <c r="G675" s="265">
        <v>0</v>
      </c>
      <c r="H675" s="265">
        <v>0</v>
      </c>
      <c r="I675" s="54">
        <f t="shared" si="35"/>
        <v>0</v>
      </c>
    </row>
    <row r="676" spans="1:9" x14ac:dyDescent="0.25">
      <c r="A676" s="75">
        <v>8200</v>
      </c>
      <c r="B676" s="46" t="str">
        <f t="shared" si="34"/>
        <v>2</v>
      </c>
      <c r="C676" s="75">
        <v>230</v>
      </c>
      <c r="D676" s="15" t="s">
        <v>110</v>
      </c>
      <c r="E676" s="265">
        <v>0</v>
      </c>
      <c r="F676" s="265">
        <v>0</v>
      </c>
      <c r="G676" s="265">
        <v>0</v>
      </c>
      <c r="H676" s="265">
        <v>0</v>
      </c>
      <c r="I676" s="54">
        <f t="shared" si="35"/>
        <v>0</v>
      </c>
    </row>
    <row r="677" spans="1:9" x14ac:dyDescent="0.25">
      <c r="A677" s="75">
        <v>8200</v>
      </c>
      <c r="B677" s="46" t="str">
        <f t="shared" si="34"/>
        <v>2</v>
      </c>
      <c r="C677" s="75">
        <v>240</v>
      </c>
      <c r="D677" s="15" t="s">
        <v>111</v>
      </c>
      <c r="E677" s="265">
        <v>0</v>
      </c>
      <c r="F677" s="265">
        <v>0</v>
      </c>
      <c r="G677" s="265">
        <v>0</v>
      </c>
      <c r="H677" s="265">
        <v>0</v>
      </c>
      <c r="I677" s="54">
        <f t="shared" si="35"/>
        <v>0</v>
      </c>
    </row>
    <row r="678" spans="1:9" x14ac:dyDescent="0.25">
      <c r="A678" s="75">
        <v>8200</v>
      </c>
      <c r="B678" s="46" t="str">
        <f t="shared" si="34"/>
        <v>2</v>
      </c>
      <c r="C678" s="75">
        <v>250</v>
      </c>
      <c r="D678" s="15" t="s">
        <v>112</v>
      </c>
      <c r="E678" s="265">
        <v>0</v>
      </c>
      <c r="F678" s="265">
        <v>0</v>
      </c>
      <c r="G678" s="265">
        <v>0</v>
      </c>
      <c r="H678" s="265">
        <v>0</v>
      </c>
      <c r="I678" s="54">
        <f t="shared" si="35"/>
        <v>0</v>
      </c>
    </row>
    <row r="679" spans="1:9" x14ac:dyDescent="0.25">
      <c r="A679" s="75">
        <v>8200</v>
      </c>
      <c r="B679" s="46" t="str">
        <f t="shared" si="34"/>
        <v>2</v>
      </c>
      <c r="C679" s="75">
        <v>290</v>
      </c>
      <c r="D679" s="15" t="s">
        <v>113</v>
      </c>
      <c r="E679" s="265">
        <v>0</v>
      </c>
      <c r="F679" s="265">
        <v>0</v>
      </c>
      <c r="G679" s="265">
        <v>0</v>
      </c>
      <c r="H679" s="265">
        <v>0</v>
      </c>
      <c r="I679" s="54">
        <f t="shared" si="35"/>
        <v>0</v>
      </c>
    </row>
    <row r="680" spans="1:9" x14ac:dyDescent="0.25">
      <c r="A680" s="75">
        <v>8200</v>
      </c>
      <c r="B680" s="46" t="str">
        <f t="shared" si="34"/>
        <v>3</v>
      </c>
      <c r="C680" s="75">
        <v>310</v>
      </c>
      <c r="D680" s="15" t="s">
        <v>114</v>
      </c>
      <c r="E680" s="265">
        <v>0</v>
      </c>
      <c r="F680" s="265">
        <v>0</v>
      </c>
      <c r="G680" s="265">
        <v>0</v>
      </c>
      <c r="H680" s="265">
        <v>0</v>
      </c>
      <c r="I680" s="54">
        <f t="shared" si="35"/>
        <v>0</v>
      </c>
    </row>
    <row r="681" spans="1:9" x14ac:dyDescent="0.25">
      <c r="A681" s="75">
        <v>8200</v>
      </c>
      <c r="B681" s="46" t="str">
        <f t="shared" si="34"/>
        <v>3</v>
      </c>
      <c r="C681" s="75">
        <v>320</v>
      </c>
      <c r="D681" s="15" t="s">
        <v>115</v>
      </c>
      <c r="E681" s="265">
        <v>0</v>
      </c>
      <c r="F681" s="265">
        <v>0</v>
      </c>
      <c r="G681" s="265">
        <v>0</v>
      </c>
      <c r="H681" s="265">
        <v>0</v>
      </c>
      <c r="I681" s="54">
        <f t="shared" si="35"/>
        <v>0</v>
      </c>
    </row>
    <row r="682" spans="1:9" x14ac:dyDescent="0.25">
      <c r="A682" s="75">
        <v>8200</v>
      </c>
      <c r="B682" s="46" t="str">
        <f t="shared" si="34"/>
        <v>3</v>
      </c>
      <c r="C682" s="75">
        <v>330</v>
      </c>
      <c r="D682" s="15" t="s">
        <v>84</v>
      </c>
      <c r="E682" s="265">
        <v>0</v>
      </c>
      <c r="F682" s="265">
        <v>0</v>
      </c>
      <c r="G682" s="265">
        <v>0</v>
      </c>
      <c r="H682" s="265">
        <v>0</v>
      </c>
      <c r="I682" s="54">
        <f t="shared" si="35"/>
        <v>0</v>
      </c>
    </row>
    <row r="683" spans="1:9" x14ac:dyDescent="0.25">
      <c r="A683" s="75">
        <v>8200</v>
      </c>
      <c r="B683" s="46" t="str">
        <f t="shared" si="34"/>
        <v>3</v>
      </c>
      <c r="C683" s="75">
        <v>350</v>
      </c>
      <c r="D683" s="15" t="s">
        <v>116</v>
      </c>
      <c r="E683" s="265">
        <v>0</v>
      </c>
      <c r="F683" s="265">
        <v>0</v>
      </c>
      <c r="G683" s="265">
        <v>0</v>
      </c>
      <c r="H683" s="265">
        <v>0</v>
      </c>
      <c r="I683" s="54">
        <f t="shared" si="35"/>
        <v>0</v>
      </c>
    </row>
    <row r="684" spans="1:9" x14ac:dyDescent="0.25">
      <c r="A684" s="75">
        <v>8200</v>
      </c>
      <c r="B684" s="46" t="str">
        <f t="shared" si="34"/>
        <v>3</v>
      </c>
      <c r="C684" s="75">
        <v>360</v>
      </c>
      <c r="D684" s="15" t="s">
        <v>92</v>
      </c>
      <c r="E684" s="265">
        <v>0</v>
      </c>
      <c r="F684" s="265">
        <v>0</v>
      </c>
      <c r="G684" s="265">
        <v>0</v>
      </c>
      <c r="H684" s="265">
        <v>0</v>
      </c>
      <c r="I684" s="54">
        <f t="shared" si="35"/>
        <v>0</v>
      </c>
    </row>
    <row r="685" spans="1:9" x14ac:dyDescent="0.25">
      <c r="A685" s="75">
        <v>8200</v>
      </c>
      <c r="B685" s="46" t="str">
        <f t="shared" si="34"/>
        <v>3</v>
      </c>
      <c r="C685" s="75">
        <v>370</v>
      </c>
      <c r="D685" s="15" t="s">
        <v>93</v>
      </c>
      <c r="E685" s="265">
        <v>0</v>
      </c>
      <c r="F685" s="265">
        <v>0</v>
      </c>
      <c r="G685" s="265">
        <v>0</v>
      </c>
      <c r="H685" s="265">
        <v>0</v>
      </c>
      <c r="I685" s="54">
        <f t="shared" si="35"/>
        <v>0</v>
      </c>
    </row>
    <row r="686" spans="1:9" x14ac:dyDescent="0.25">
      <c r="A686" s="75">
        <v>8200</v>
      </c>
      <c r="B686" s="46" t="str">
        <f t="shared" si="34"/>
        <v>3</v>
      </c>
      <c r="C686" s="75">
        <v>380</v>
      </c>
      <c r="D686" s="15" t="s">
        <v>117</v>
      </c>
      <c r="E686" s="265">
        <v>0</v>
      </c>
      <c r="F686" s="265">
        <v>0</v>
      </c>
      <c r="G686" s="265">
        <v>0</v>
      </c>
      <c r="H686" s="265">
        <v>0</v>
      </c>
      <c r="I686" s="54">
        <f t="shared" si="35"/>
        <v>0</v>
      </c>
    </row>
    <row r="687" spans="1:9" x14ac:dyDescent="0.25">
      <c r="A687" s="75">
        <v>8200</v>
      </c>
      <c r="B687" s="46" t="str">
        <f t="shared" si="34"/>
        <v>3</v>
      </c>
      <c r="C687" s="75">
        <v>390</v>
      </c>
      <c r="D687" s="15" t="s">
        <v>118</v>
      </c>
      <c r="E687" s="265">
        <v>0</v>
      </c>
      <c r="F687" s="265">
        <v>0</v>
      </c>
      <c r="G687" s="265">
        <v>0</v>
      </c>
      <c r="H687" s="265">
        <v>0</v>
      </c>
      <c r="I687" s="54">
        <f t="shared" si="35"/>
        <v>0</v>
      </c>
    </row>
    <row r="688" spans="1:9" x14ac:dyDescent="0.25">
      <c r="A688" s="75">
        <v>8200</v>
      </c>
      <c r="B688" s="46" t="str">
        <f t="shared" si="34"/>
        <v>4</v>
      </c>
      <c r="C688" s="75">
        <v>430</v>
      </c>
      <c r="D688" s="15" t="s">
        <v>119</v>
      </c>
      <c r="E688" s="265">
        <v>0</v>
      </c>
      <c r="F688" s="265">
        <v>0</v>
      </c>
      <c r="G688" s="265">
        <v>0</v>
      </c>
      <c r="H688" s="265">
        <v>0</v>
      </c>
      <c r="I688" s="54">
        <f t="shared" si="35"/>
        <v>0</v>
      </c>
    </row>
    <row r="689" spans="1:9" x14ac:dyDescent="0.25">
      <c r="A689" s="75">
        <v>8200</v>
      </c>
      <c r="B689" s="46" t="str">
        <f t="shared" si="34"/>
        <v>5</v>
      </c>
      <c r="C689" s="75">
        <v>510</v>
      </c>
      <c r="D689" s="15" t="s">
        <v>94</v>
      </c>
      <c r="E689" s="265">
        <v>0</v>
      </c>
      <c r="F689" s="265">
        <v>0</v>
      </c>
      <c r="G689" s="265">
        <v>0</v>
      </c>
      <c r="H689" s="265">
        <v>0</v>
      </c>
      <c r="I689" s="54">
        <f t="shared" si="35"/>
        <v>0</v>
      </c>
    </row>
    <row r="690" spans="1:9" x14ac:dyDescent="0.25">
      <c r="A690" s="75">
        <v>8200</v>
      </c>
      <c r="B690" s="46" t="str">
        <f t="shared" si="34"/>
        <v>5</v>
      </c>
      <c r="C690" s="75">
        <v>520</v>
      </c>
      <c r="D690" s="15" t="s">
        <v>95</v>
      </c>
      <c r="E690" s="265">
        <v>0</v>
      </c>
      <c r="F690" s="265">
        <v>0</v>
      </c>
      <c r="G690" s="265">
        <v>0</v>
      </c>
      <c r="H690" s="265">
        <v>0</v>
      </c>
      <c r="I690" s="54">
        <f t="shared" si="35"/>
        <v>0</v>
      </c>
    </row>
    <row r="691" spans="1:9" x14ac:dyDescent="0.25">
      <c r="A691" s="75">
        <v>8200</v>
      </c>
      <c r="B691" s="46" t="str">
        <f t="shared" si="34"/>
        <v>5</v>
      </c>
      <c r="C691" s="75">
        <v>530</v>
      </c>
      <c r="D691" s="15" t="s">
        <v>120</v>
      </c>
      <c r="E691" s="265">
        <v>0</v>
      </c>
      <c r="F691" s="265">
        <v>0</v>
      </c>
      <c r="G691" s="265">
        <v>0</v>
      </c>
      <c r="H691" s="265">
        <v>0</v>
      </c>
      <c r="I691" s="54">
        <f t="shared" si="35"/>
        <v>0</v>
      </c>
    </row>
    <row r="692" spans="1:9" x14ac:dyDescent="0.25">
      <c r="A692" s="75">
        <v>8200</v>
      </c>
      <c r="B692" s="46" t="str">
        <f t="shared" si="34"/>
        <v>5</v>
      </c>
      <c r="C692" s="75">
        <v>570</v>
      </c>
      <c r="D692" s="15" t="s">
        <v>85</v>
      </c>
      <c r="E692" s="265">
        <v>0</v>
      </c>
      <c r="F692" s="265">
        <v>0</v>
      </c>
      <c r="G692" s="265">
        <v>0</v>
      </c>
      <c r="H692" s="265">
        <v>0</v>
      </c>
      <c r="I692" s="54">
        <f t="shared" si="35"/>
        <v>0</v>
      </c>
    </row>
    <row r="693" spans="1:9" x14ac:dyDescent="0.25">
      <c r="A693" s="75">
        <v>8200</v>
      </c>
      <c r="B693" s="46" t="str">
        <f t="shared" si="34"/>
        <v>5</v>
      </c>
      <c r="C693" s="75">
        <v>590</v>
      </c>
      <c r="D693" s="15" t="s">
        <v>121</v>
      </c>
      <c r="E693" s="265">
        <v>0</v>
      </c>
      <c r="F693" s="265">
        <v>0</v>
      </c>
      <c r="G693" s="265">
        <v>0</v>
      </c>
      <c r="H693" s="265">
        <v>0</v>
      </c>
      <c r="I693" s="54">
        <f t="shared" si="35"/>
        <v>0</v>
      </c>
    </row>
    <row r="694" spans="1:9" x14ac:dyDescent="0.25">
      <c r="A694" s="75">
        <v>8200</v>
      </c>
      <c r="B694" s="46" t="str">
        <f t="shared" si="34"/>
        <v>6</v>
      </c>
      <c r="C694" s="75">
        <v>610</v>
      </c>
      <c r="D694" s="15" t="s">
        <v>122</v>
      </c>
      <c r="E694" s="265">
        <v>0</v>
      </c>
      <c r="F694" s="265">
        <v>0</v>
      </c>
      <c r="G694" s="265">
        <v>0</v>
      </c>
      <c r="H694" s="265">
        <v>0</v>
      </c>
      <c r="I694" s="54">
        <f t="shared" si="35"/>
        <v>0</v>
      </c>
    </row>
    <row r="695" spans="1:9" x14ac:dyDescent="0.25">
      <c r="A695" s="75">
        <v>8200</v>
      </c>
      <c r="B695" s="46" t="str">
        <f t="shared" si="34"/>
        <v>6</v>
      </c>
      <c r="C695" s="75">
        <v>621</v>
      </c>
      <c r="D695" s="15" t="s">
        <v>123</v>
      </c>
      <c r="E695" s="265">
        <v>0</v>
      </c>
      <c r="F695" s="265">
        <v>0</v>
      </c>
      <c r="G695" s="265">
        <v>0</v>
      </c>
      <c r="H695" s="265">
        <v>0</v>
      </c>
      <c r="I695" s="54">
        <f t="shared" si="35"/>
        <v>0</v>
      </c>
    </row>
    <row r="696" spans="1:9" x14ac:dyDescent="0.25">
      <c r="A696" s="75">
        <v>8200</v>
      </c>
      <c r="B696" s="46" t="str">
        <f t="shared" si="34"/>
        <v>6</v>
      </c>
      <c r="C696" s="75">
        <v>622</v>
      </c>
      <c r="D696" s="15" t="s">
        <v>124</v>
      </c>
      <c r="E696" s="265">
        <v>0</v>
      </c>
      <c r="F696" s="265">
        <v>0</v>
      </c>
      <c r="G696" s="265">
        <v>0</v>
      </c>
      <c r="H696" s="265">
        <v>0</v>
      </c>
      <c r="I696" s="54">
        <f t="shared" si="35"/>
        <v>0</v>
      </c>
    </row>
    <row r="697" spans="1:9" x14ac:dyDescent="0.25">
      <c r="A697" s="75">
        <v>8200</v>
      </c>
      <c r="B697" s="46" t="str">
        <f t="shared" si="34"/>
        <v>6</v>
      </c>
      <c r="C697" s="75">
        <v>630</v>
      </c>
      <c r="D697" s="15" t="s">
        <v>125</v>
      </c>
      <c r="E697" s="265">
        <v>0</v>
      </c>
      <c r="F697" s="265">
        <v>0</v>
      </c>
      <c r="G697" s="265">
        <v>0</v>
      </c>
      <c r="H697" s="265">
        <v>0</v>
      </c>
      <c r="I697" s="54">
        <f t="shared" si="35"/>
        <v>0</v>
      </c>
    </row>
    <row r="698" spans="1:9" x14ac:dyDescent="0.25">
      <c r="A698" s="75">
        <v>8200</v>
      </c>
      <c r="B698" s="46" t="str">
        <f t="shared" si="34"/>
        <v>6</v>
      </c>
      <c r="C698" s="75">
        <v>641</v>
      </c>
      <c r="D698" s="15" t="s">
        <v>126</v>
      </c>
      <c r="E698" s="265">
        <v>0</v>
      </c>
      <c r="F698" s="265">
        <v>0</v>
      </c>
      <c r="G698" s="265">
        <v>0</v>
      </c>
      <c r="H698" s="265">
        <v>0</v>
      </c>
      <c r="I698" s="54">
        <f t="shared" si="35"/>
        <v>0</v>
      </c>
    </row>
    <row r="699" spans="1:9" x14ac:dyDescent="0.25">
      <c r="A699" s="75">
        <v>8200</v>
      </c>
      <c r="B699" s="46" t="str">
        <f t="shared" si="34"/>
        <v>6</v>
      </c>
      <c r="C699" s="75">
        <v>642</v>
      </c>
      <c r="D699" s="15" t="s">
        <v>127</v>
      </c>
      <c r="E699" s="265">
        <v>0</v>
      </c>
      <c r="F699" s="265">
        <v>0</v>
      </c>
      <c r="G699" s="265">
        <v>0</v>
      </c>
      <c r="H699" s="265">
        <v>0</v>
      </c>
      <c r="I699" s="54">
        <f t="shared" si="35"/>
        <v>0</v>
      </c>
    </row>
    <row r="700" spans="1:9" x14ac:dyDescent="0.25">
      <c r="A700" s="75">
        <v>8200</v>
      </c>
      <c r="B700" s="46" t="str">
        <f t="shared" si="34"/>
        <v>6</v>
      </c>
      <c r="C700" s="75">
        <v>643</v>
      </c>
      <c r="D700" s="15" t="s">
        <v>128</v>
      </c>
      <c r="E700" s="265">
        <v>0</v>
      </c>
      <c r="F700" s="265">
        <v>0</v>
      </c>
      <c r="G700" s="265">
        <v>0</v>
      </c>
      <c r="H700" s="265">
        <v>0</v>
      </c>
      <c r="I700" s="54">
        <f t="shared" si="35"/>
        <v>0</v>
      </c>
    </row>
    <row r="701" spans="1:9" x14ac:dyDescent="0.25">
      <c r="A701" s="75">
        <v>8200</v>
      </c>
      <c r="B701" s="46" t="str">
        <f t="shared" si="34"/>
        <v>6</v>
      </c>
      <c r="C701" s="75">
        <v>644</v>
      </c>
      <c r="D701" s="15" t="s">
        <v>129</v>
      </c>
      <c r="E701" s="265">
        <v>0</v>
      </c>
      <c r="F701" s="265">
        <v>0</v>
      </c>
      <c r="G701" s="265">
        <v>0</v>
      </c>
      <c r="H701" s="265">
        <v>0</v>
      </c>
      <c r="I701" s="54">
        <f t="shared" si="35"/>
        <v>0</v>
      </c>
    </row>
    <row r="702" spans="1:9" x14ac:dyDescent="0.25">
      <c r="A702" s="75">
        <v>8200</v>
      </c>
      <c r="B702" s="46" t="str">
        <f t="shared" si="34"/>
        <v>6</v>
      </c>
      <c r="C702" s="75">
        <v>680</v>
      </c>
      <c r="D702" s="15" t="s">
        <v>130</v>
      </c>
      <c r="E702" s="265">
        <v>0</v>
      </c>
      <c r="F702" s="265">
        <v>0</v>
      </c>
      <c r="G702" s="265">
        <v>0</v>
      </c>
      <c r="H702" s="265">
        <v>0</v>
      </c>
      <c r="I702" s="54">
        <f t="shared" si="35"/>
        <v>0</v>
      </c>
    </row>
    <row r="703" spans="1:9" x14ac:dyDescent="0.25">
      <c r="A703" s="75">
        <v>8200</v>
      </c>
      <c r="B703" s="46" t="str">
        <f t="shared" si="34"/>
        <v>6</v>
      </c>
      <c r="C703" s="75">
        <v>690</v>
      </c>
      <c r="D703" s="15" t="s">
        <v>131</v>
      </c>
      <c r="E703" s="265">
        <v>0</v>
      </c>
      <c r="F703" s="265">
        <v>0</v>
      </c>
      <c r="G703" s="265">
        <v>0</v>
      </c>
      <c r="H703" s="265">
        <v>0</v>
      </c>
      <c r="I703" s="54">
        <f t="shared" si="35"/>
        <v>0</v>
      </c>
    </row>
    <row r="704" spans="1:9" x14ac:dyDescent="0.25">
      <c r="A704" s="75">
        <v>8200</v>
      </c>
      <c r="B704" s="46" t="str">
        <f t="shared" si="34"/>
        <v>7</v>
      </c>
      <c r="C704" s="75">
        <v>720</v>
      </c>
      <c r="D704" s="15" t="s">
        <v>132</v>
      </c>
      <c r="E704" s="265">
        <v>0</v>
      </c>
      <c r="F704" s="265">
        <v>0</v>
      </c>
      <c r="G704" s="265">
        <v>0</v>
      </c>
      <c r="H704" s="265">
        <v>0</v>
      </c>
      <c r="I704" s="54">
        <f t="shared" si="35"/>
        <v>0</v>
      </c>
    </row>
    <row r="705" spans="1:9" x14ac:dyDescent="0.25">
      <c r="A705" s="75">
        <v>8200</v>
      </c>
      <c r="B705" s="46" t="str">
        <f t="shared" si="34"/>
        <v>7</v>
      </c>
      <c r="C705" s="75">
        <v>730</v>
      </c>
      <c r="D705" s="15" t="s">
        <v>133</v>
      </c>
      <c r="E705" s="265">
        <v>0</v>
      </c>
      <c r="F705" s="265">
        <v>0</v>
      </c>
      <c r="G705" s="265">
        <v>0</v>
      </c>
      <c r="H705" s="265">
        <v>0</v>
      </c>
      <c r="I705" s="54">
        <f t="shared" si="35"/>
        <v>0</v>
      </c>
    </row>
    <row r="706" spans="1:9" x14ac:dyDescent="0.25">
      <c r="A706" s="75">
        <v>8200</v>
      </c>
      <c r="B706" s="46" t="str">
        <f t="shared" si="34"/>
        <v>7</v>
      </c>
      <c r="C706" s="75">
        <v>750</v>
      </c>
      <c r="D706" s="15" t="s">
        <v>134</v>
      </c>
      <c r="E706" s="265">
        <v>0</v>
      </c>
      <c r="F706" s="265">
        <v>0</v>
      </c>
      <c r="G706" s="265">
        <v>0</v>
      </c>
      <c r="H706" s="265">
        <v>0</v>
      </c>
      <c r="I706" s="54">
        <f t="shared" si="35"/>
        <v>0</v>
      </c>
    </row>
    <row r="707" spans="1:9" x14ac:dyDescent="0.25">
      <c r="A707" s="75">
        <v>8200</v>
      </c>
      <c r="B707" s="46" t="str">
        <f t="shared" si="34"/>
        <v>7</v>
      </c>
      <c r="C707" s="75">
        <v>790</v>
      </c>
      <c r="D707" s="15" t="s">
        <v>135</v>
      </c>
      <c r="E707" s="265">
        <v>0</v>
      </c>
      <c r="F707" s="265">
        <v>0</v>
      </c>
      <c r="G707" s="265">
        <v>0</v>
      </c>
      <c r="H707" s="265">
        <v>0</v>
      </c>
      <c r="I707" s="54">
        <f t="shared" si="35"/>
        <v>0</v>
      </c>
    </row>
    <row r="708" spans="1:9" ht="15.5" x14ac:dyDescent="0.35">
      <c r="B708" s="46">
        <v>8200</v>
      </c>
      <c r="D708" s="76" t="s">
        <v>177</v>
      </c>
      <c r="E708" s="77">
        <f>SUM(E668:E707)</f>
        <v>0</v>
      </c>
      <c r="F708" s="77">
        <f>SUM(F668:F707)</f>
        <v>0</v>
      </c>
      <c r="G708" s="77">
        <f>SUM(G668:G707)</f>
        <v>0</v>
      </c>
      <c r="H708" s="77">
        <f>SUM(H668:H707)</f>
        <v>0</v>
      </c>
      <c r="I708" s="77">
        <f>SUM(I668:I707)</f>
        <v>0</v>
      </c>
    </row>
    <row r="709" spans="1:9" ht="18.5" x14ac:dyDescent="0.45">
      <c r="A709" s="48" t="s">
        <v>163</v>
      </c>
      <c r="B709" s="49"/>
      <c r="C709" s="50"/>
      <c r="D709" s="50"/>
      <c r="E709" s="74"/>
      <c r="F709" s="74"/>
      <c r="G709" s="74"/>
      <c r="H709" s="74"/>
      <c r="I709" s="74"/>
    </row>
    <row r="710" spans="1:9" x14ac:dyDescent="0.25">
      <c r="A710" s="75">
        <v>9100</v>
      </c>
      <c r="B710" s="46" t="str">
        <f t="shared" ref="B710:B749" si="36">LEFT(C710,1)</f>
        <v>1</v>
      </c>
      <c r="C710" s="75">
        <v>110</v>
      </c>
      <c r="D710" s="15" t="s">
        <v>102</v>
      </c>
      <c r="E710" s="265">
        <v>0</v>
      </c>
      <c r="F710" s="265">
        <v>0</v>
      </c>
      <c r="G710" s="265">
        <v>0</v>
      </c>
      <c r="H710" s="265">
        <v>0</v>
      </c>
      <c r="I710" s="54">
        <f t="shared" ref="I710:I749" si="37">SUM(E710:H710)</f>
        <v>0</v>
      </c>
    </row>
    <row r="711" spans="1:9" x14ac:dyDescent="0.25">
      <c r="A711" s="75">
        <v>9100</v>
      </c>
      <c r="B711" s="46" t="str">
        <f t="shared" si="36"/>
        <v>1</v>
      </c>
      <c r="C711" s="75">
        <v>120</v>
      </c>
      <c r="D711" s="15" t="s">
        <v>103</v>
      </c>
      <c r="E711" s="265">
        <v>0</v>
      </c>
      <c r="F711" s="265">
        <v>0</v>
      </c>
      <c r="G711" s="265">
        <v>0</v>
      </c>
      <c r="H711" s="265">
        <v>0</v>
      </c>
      <c r="I711" s="54">
        <f t="shared" si="37"/>
        <v>0</v>
      </c>
    </row>
    <row r="712" spans="1:9" x14ac:dyDescent="0.25">
      <c r="A712" s="75">
        <v>9100</v>
      </c>
      <c r="B712" s="46" t="str">
        <f t="shared" si="36"/>
        <v>1</v>
      </c>
      <c r="C712" s="75">
        <v>130</v>
      </c>
      <c r="D712" s="15" t="s">
        <v>104</v>
      </c>
      <c r="E712" s="265">
        <v>0</v>
      </c>
      <c r="F712" s="265">
        <v>0</v>
      </c>
      <c r="G712" s="265">
        <v>0</v>
      </c>
      <c r="H712" s="265">
        <v>0</v>
      </c>
      <c r="I712" s="54">
        <f t="shared" si="37"/>
        <v>0</v>
      </c>
    </row>
    <row r="713" spans="1:9" x14ac:dyDescent="0.25">
      <c r="A713" s="75">
        <v>9100</v>
      </c>
      <c r="B713" s="46" t="str">
        <f t="shared" si="36"/>
        <v>1</v>
      </c>
      <c r="C713" s="75">
        <v>140</v>
      </c>
      <c r="D713" s="15" t="s">
        <v>105</v>
      </c>
      <c r="E713" s="265">
        <v>0</v>
      </c>
      <c r="F713" s="265">
        <v>0</v>
      </c>
      <c r="G713" s="265">
        <v>0</v>
      </c>
      <c r="H713" s="265">
        <v>0</v>
      </c>
      <c r="I713" s="54">
        <f t="shared" si="37"/>
        <v>0</v>
      </c>
    </row>
    <row r="714" spans="1:9" x14ac:dyDescent="0.25">
      <c r="A714" s="75">
        <v>9100</v>
      </c>
      <c r="B714" s="46" t="str">
        <f t="shared" si="36"/>
        <v>1</v>
      </c>
      <c r="C714" s="75">
        <v>150</v>
      </c>
      <c r="D714" s="15" t="s">
        <v>106</v>
      </c>
      <c r="E714" s="265">
        <v>0</v>
      </c>
      <c r="F714" s="265">
        <v>0</v>
      </c>
      <c r="G714" s="265">
        <v>0</v>
      </c>
      <c r="H714" s="265">
        <v>0</v>
      </c>
      <c r="I714" s="54">
        <f t="shared" si="37"/>
        <v>0</v>
      </c>
    </row>
    <row r="715" spans="1:9" x14ac:dyDescent="0.25">
      <c r="A715" s="75">
        <v>9100</v>
      </c>
      <c r="B715" s="46" t="str">
        <f t="shared" si="36"/>
        <v>1</v>
      </c>
      <c r="C715" s="75">
        <v>160</v>
      </c>
      <c r="D715" s="15" t="s">
        <v>107</v>
      </c>
      <c r="E715" s="265">
        <v>0</v>
      </c>
      <c r="F715" s="265">
        <v>0</v>
      </c>
      <c r="G715" s="265">
        <v>0</v>
      </c>
      <c r="H715" s="265">
        <v>0</v>
      </c>
      <c r="I715" s="54">
        <f t="shared" si="37"/>
        <v>0</v>
      </c>
    </row>
    <row r="716" spans="1:9" x14ac:dyDescent="0.25">
      <c r="A716" s="75">
        <v>9100</v>
      </c>
      <c r="B716" s="46" t="str">
        <f t="shared" si="36"/>
        <v>2</v>
      </c>
      <c r="C716" s="75">
        <v>210</v>
      </c>
      <c r="D716" s="15" t="s">
        <v>108</v>
      </c>
      <c r="E716" s="265">
        <v>0</v>
      </c>
      <c r="F716" s="265">
        <v>0</v>
      </c>
      <c r="G716" s="265">
        <v>0</v>
      </c>
      <c r="H716" s="265">
        <v>0</v>
      </c>
      <c r="I716" s="54">
        <f t="shared" si="37"/>
        <v>0</v>
      </c>
    </row>
    <row r="717" spans="1:9" x14ac:dyDescent="0.25">
      <c r="A717" s="75">
        <v>9100</v>
      </c>
      <c r="B717" s="46" t="str">
        <f t="shared" si="36"/>
        <v>2</v>
      </c>
      <c r="C717" s="75">
        <v>220</v>
      </c>
      <c r="D717" s="15" t="s">
        <v>109</v>
      </c>
      <c r="E717" s="265">
        <v>0</v>
      </c>
      <c r="F717" s="265">
        <v>0</v>
      </c>
      <c r="G717" s="265">
        <v>0</v>
      </c>
      <c r="H717" s="265">
        <v>0</v>
      </c>
      <c r="I717" s="54">
        <f t="shared" si="37"/>
        <v>0</v>
      </c>
    </row>
    <row r="718" spans="1:9" x14ac:dyDescent="0.25">
      <c r="A718" s="75">
        <v>9100</v>
      </c>
      <c r="B718" s="46" t="str">
        <f t="shared" si="36"/>
        <v>2</v>
      </c>
      <c r="C718" s="75">
        <v>230</v>
      </c>
      <c r="D718" s="15" t="s">
        <v>110</v>
      </c>
      <c r="E718" s="265">
        <v>0</v>
      </c>
      <c r="F718" s="265">
        <v>0</v>
      </c>
      <c r="G718" s="265">
        <v>0</v>
      </c>
      <c r="H718" s="265">
        <v>0</v>
      </c>
      <c r="I718" s="54">
        <f t="shared" si="37"/>
        <v>0</v>
      </c>
    </row>
    <row r="719" spans="1:9" x14ac:dyDescent="0.25">
      <c r="A719" s="75">
        <v>9100</v>
      </c>
      <c r="B719" s="46" t="str">
        <f t="shared" si="36"/>
        <v>2</v>
      </c>
      <c r="C719" s="75">
        <v>240</v>
      </c>
      <c r="D719" s="15" t="s">
        <v>111</v>
      </c>
      <c r="E719" s="265">
        <v>0</v>
      </c>
      <c r="F719" s="265">
        <v>0</v>
      </c>
      <c r="G719" s="265">
        <v>0</v>
      </c>
      <c r="H719" s="265">
        <v>0</v>
      </c>
      <c r="I719" s="54">
        <f t="shared" si="37"/>
        <v>0</v>
      </c>
    </row>
    <row r="720" spans="1:9" x14ac:dyDescent="0.25">
      <c r="A720" s="75">
        <v>9100</v>
      </c>
      <c r="B720" s="46" t="str">
        <f t="shared" si="36"/>
        <v>2</v>
      </c>
      <c r="C720" s="75">
        <v>250</v>
      </c>
      <c r="D720" s="15" t="s">
        <v>112</v>
      </c>
      <c r="E720" s="265">
        <v>0</v>
      </c>
      <c r="F720" s="265">
        <v>0</v>
      </c>
      <c r="G720" s="265">
        <v>0</v>
      </c>
      <c r="H720" s="265">
        <v>0</v>
      </c>
      <c r="I720" s="54">
        <f t="shared" si="37"/>
        <v>0</v>
      </c>
    </row>
    <row r="721" spans="1:9" x14ac:dyDescent="0.25">
      <c r="A721" s="75">
        <v>9100</v>
      </c>
      <c r="B721" s="46" t="str">
        <f t="shared" si="36"/>
        <v>2</v>
      </c>
      <c r="C721" s="75">
        <v>290</v>
      </c>
      <c r="D721" s="15" t="s">
        <v>113</v>
      </c>
      <c r="E721" s="265">
        <v>0</v>
      </c>
      <c r="F721" s="265">
        <v>0</v>
      </c>
      <c r="G721" s="265">
        <v>0</v>
      </c>
      <c r="H721" s="265">
        <v>0</v>
      </c>
      <c r="I721" s="54">
        <f t="shared" si="37"/>
        <v>0</v>
      </c>
    </row>
    <row r="722" spans="1:9" x14ac:dyDescent="0.25">
      <c r="A722" s="75">
        <v>9100</v>
      </c>
      <c r="B722" s="46" t="str">
        <f t="shared" si="36"/>
        <v>3</v>
      </c>
      <c r="C722" s="75">
        <v>310</v>
      </c>
      <c r="D722" s="15" t="s">
        <v>114</v>
      </c>
      <c r="E722" s="265">
        <v>0</v>
      </c>
      <c r="F722" s="265">
        <v>0</v>
      </c>
      <c r="G722" s="265">
        <v>0</v>
      </c>
      <c r="H722" s="265">
        <v>0</v>
      </c>
      <c r="I722" s="54">
        <f t="shared" si="37"/>
        <v>0</v>
      </c>
    </row>
    <row r="723" spans="1:9" x14ac:dyDescent="0.25">
      <c r="A723" s="75">
        <v>9100</v>
      </c>
      <c r="B723" s="46" t="str">
        <f t="shared" si="36"/>
        <v>3</v>
      </c>
      <c r="C723" s="75">
        <v>320</v>
      </c>
      <c r="D723" s="15" t="s">
        <v>115</v>
      </c>
      <c r="E723" s="265">
        <v>0</v>
      </c>
      <c r="F723" s="265">
        <v>0</v>
      </c>
      <c r="G723" s="265">
        <v>0</v>
      </c>
      <c r="H723" s="265">
        <v>0</v>
      </c>
      <c r="I723" s="54">
        <f t="shared" si="37"/>
        <v>0</v>
      </c>
    </row>
    <row r="724" spans="1:9" x14ac:dyDescent="0.25">
      <c r="A724" s="75">
        <v>9100</v>
      </c>
      <c r="B724" s="46" t="str">
        <f t="shared" si="36"/>
        <v>3</v>
      </c>
      <c r="C724" s="75">
        <v>330</v>
      </c>
      <c r="D724" s="15" t="s">
        <v>84</v>
      </c>
      <c r="E724" s="265">
        <v>0</v>
      </c>
      <c r="F724" s="265">
        <v>0</v>
      </c>
      <c r="G724" s="265">
        <v>0</v>
      </c>
      <c r="H724" s="265">
        <v>0</v>
      </c>
      <c r="I724" s="54">
        <f t="shared" si="37"/>
        <v>0</v>
      </c>
    </row>
    <row r="725" spans="1:9" x14ac:dyDescent="0.25">
      <c r="A725" s="75">
        <v>9100</v>
      </c>
      <c r="B725" s="46" t="str">
        <f t="shared" si="36"/>
        <v>3</v>
      </c>
      <c r="C725" s="75">
        <v>350</v>
      </c>
      <c r="D725" s="15" t="s">
        <v>116</v>
      </c>
      <c r="E725" s="265">
        <v>0</v>
      </c>
      <c r="F725" s="265">
        <v>0</v>
      </c>
      <c r="G725" s="265">
        <v>0</v>
      </c>
      <c r="H725" s="265">
        <v>0</v>
      </c>
      <c r="I725" s="54">
        <f t="shared" si="37"/>
        <v>0</v>
      </c>
    </row>
    <row r="726" spans="1:9" x14ac:dyDescent="0.25">
      <c r="A726" s="75">
        <v>9100</v>
      </c>
      <c r="B726" s="46" t="str">
        <f t="shared" si="36"/>
        <v>3</v>
      </c>
      <c r="C726" s="75">
        <v>360</v>
      </c>
      <c r="D726" s="15" t="s">
        <v>92</v>
      </c>
      <c r="E726" s="265">
        <v>0</v>
      </c>
      <c r="F726" s="265">
        <v>0</v>
      </c>
      <c r="G726" s="265">
        <v>0</v>
      </c>
      <c r="H726" s="265">
        <v>0</v>
      </c>
      <c r="I726" s="54">
        <f t="shared" si="37"/>
        <v>0</v>
      </c>
    </row>
    <row r="727" spans="1:9" x14ac:dyDescent="0.25">
      <c r="A727" s="75">
        <v>9100</v>
      </c>
      <c r="B727" s="46" t="str">
        <f t="shared" si="36"/>
        <v>3</v>
      </c>
      <c r="C727" s="75">
        <v>370</v>
      </c>
      <c r="D727" s="15" t="s">
        <v>93</v>
      </c>
      <c r="E727" s="265">
        <v>0</v>
      </c>
      <c r="F727" s="265">
        <v>0</v>
      </c>
      <c r="G727" s="265">
        <v>0</v>
      </c>
      <c r="H727" s="265">
        <v>0</v>
      </c>
      <c r="I727" s="54">
        <f t="shared" si="37"/>
        <v>0</v>
      </c>
    </row>
    <row r="728" spans="1:9" x14ac:dyDescent="0.25">
      <c r="A728" s="75">
        <v>9100</v>
      </c>
      <c r="B728" s="46" t="str">
        <f t="shared" si="36"/>
        <v>3</v>
      </c>
      <c r="C728" s="75">
        <v>380</v>
      </c>
      <c r="D728" s="15" t="s">
        <v>117</v>
      </c>
      <c r="E728" s="265">
        <v>0</v>
      </c>
      <c r="F728" s="265">
        <v>0</v>
      </c>
      <c r="G728" s="265">
        <v>0</v>
      </c>
      <c r="H728" s="265">
        <v>0</v>
      </c>
      <c r="I728" s="54">
        <f t="shared" si="37"/>
        <v>0</v>
      </c>
    </row>
    <row r="729" spans="1:9" x14ac:dyDescent="0.25">
      <c r="A729" s="75">
        <v>9100</v>
      </c>
      <c r="B729" s="46" t="str">
        <f t="shared" si="36"/>
        <v>3</v>
      </c>
      <c r="C729" s="75">
        <v>390</v>
      </c>
      <c r="D729" s="15" t="s">
        <v>118</v>
      </c>
      <c r="E729" s="265">
        <v>0</v>
      </c>
      <c r="F729" s="265">
        <v>0</v>
      </c>
      <c r="G729" s="265">
        <v>0</v>
      </c>
      <c r="H729" s="265">
        <v>0</v>
      </c>
      <c r="I729" s="54">
        <f t="shared" si="37"/>
        <v>0</v>
      </c>
    </row>
    <row r="730" spans="1:9" x14ac:dyDescent="0.25">
      <c r="A730" s="75">
        <v>9100</v>
      </c>
      <c r="B730" s="46" t="str">
        <f t="shared" si="36"/>
        <v>4</v>
      </c>
      <c r="C730" s="75">
        <v>430</v>
      </c>
      <c r="D730" s="15" t="s">
        <v>119</v>
      </c>
      <c r="E730" s="265">
        <v>0</v>
      </c>
      <c r="F730" s="265">
        <v>0</v>
      </c>
      <c r="G730" s="265">
        <v>0</v>
      </c>
      <c r="H730" s="265">
        <v>0</v>
      </c>
      <c r="I730" s="54">
        <f t="shared" si="37"/>
        <v>0</v>
      </c>
    </row>
    <row r="731" spans="1:9" x14ac:dyDescent="0.25">
      <c r="A731" s="75">
        <v>9100</v>
      </c>
      <c r="B731" s="46" t="str">
        <f t="shared" si="36"/>
        <v>5</v>
      </c>
      <c r="C731" s="75">
        <v>510</v>
      </c>
      <c r="D731" s="15" t="s">
        <v>94</v>
      </c>
      <c r="E731" s="265">
        <v>0</v>
      </c>
      <c r="F731" s="265">
        <v>0</v>
      </c>
      <c r="G731" s="265">
        <v>0</v>
      </c>
      <c r="H731" s="265">
        <v>0</v>
      </c>
      <c r="I731" s="54">
        <f t="shared" si="37"/>
        <v>0</v>
      </c>
    </row>
    <row r="732" spans="1:9" x14ac:dyDescent="0.25">
      <c r="A732" s="75">
        <v>9100</v>
      </c>
      <c r="B732" s="46" t="str">
        <f t="shared" si="36"/>
        <v>5</v>
      </c>
      <c r="C732" s="75">
        <v>520</v>
      </c>
      <c r="D732" s="15" t="s">
        <v>95</v>
      </c>
      <c r="E732" s="265">
        <v>0</v>
      </c>
      <c r="F732" s="265">
        <v>0</v>
      </c>
      <c r="G732" s="265">
        <v>0</v>
      </c>
      <c r="H732" s="265">
        <v>0</v>
      </c>
      <c r="I732" s="54">
        <f t="shared" si="37"/>
        <v>0</v>
      </c>
    </row>
    <row r="733" spans="1:9" x14ac:dyDescent="0.25">
      <c r="A733" s="75">
        <v>9100</v>
      </c>
      <c r="B733" s="46" t="str">
        <f t="shared" si="36"/>
        <v>5</v>
      </c>
      <c r="C733" s="75">
        <v>530</v>
      </c>
      <c r="D733" s="15" t="s">
        <v>120</v>
      </c>
      <c r="E733" s="265">
        <v>0</v>
      </c>
      <c r="F733" s="265">
        <v>0</v>
      </c>
      <c r="G733" s="265">
        <v>0</v>
      </c>
      <c r="H733" s="265">
        <v>0</v>
      </c>
      <c r="I733" s="54">
        <f t="shared" si="37"/>
        <v>0</v>
      </c>
    </row>
    <row r="734" spans="1:9" x14ac:dyDescent="0.25">
      <c r="A734" s="75">
        <v>9100</v>
      </c>
      <c r="B734" s="46" t="str">
        <f t="shared" si="36"/>
        <v>5</v>
      </c>
      <c r="C734" s="75">
        <v>570</v>
      </c>
      <c r="D734" s="15" t="s">
        <v>85</v>
      </c>
      <c r="E734" s="265">
        <v>0</v>
      </c>
      <c r="F734" s="265">
        <v>0</v>
      </c>
      <c r="G734" s="265">
        <v>0</v>
      </c>
      <c r="H734" s="265">
        <v>0</v>
      </c>
      <c r="I734" s="54">
        <f t="shared" si="37"/>
        <v>0</v>
      </c>
    </row>
    <row r="735" spans="1:9" x14ac:dyDescent="0.25">
      <c r="A735" s="75">
        <v>9100</v>
      </c>
      <c r="B735" s="46" t="str">
        <f t="shared" si="36"/>
        <v>5</v>
      </c>
      <c r="C735" s="75">
        <v>590</v>
      </c>
      <c r="D735" s="15" t="s">
        <v>121</v>
      </c>
      <c r="E735" s="265">
        <v>0</v>
      </c>
      <c r="F735" s="265">
        <v>0</v>
      </c>
      <c r="G735" s="265">
        <v>0</v>
      </c>
      <c r="H735" s="265">
        <v>0</v>
      </c>
      <c r="I735" s="54">
        <f t="shared" si="37"/>
        <v>0</v>
      </c>
    </row>
    <row r="736" spans="1:9" x14ac:dyDescent="0.25">
      <c r="A736" s="75">
        <v>9100</v>
      </c>
      <c r="B736" s="46" t="str">
        <f t="shared" si="36"/>
        <v>6</v>
      </c>
      <c r="C736" s="75">
        <v>610</v>
      </c>
      <c r="D736" s="15" t="s">
        <v>122</v>
      </c>
      <c r="E736" s="265">
        <v>0</v>
      </c>
      <c r="F736" s="265">
        <v>0</v>
      </c>
      <c r="G736" s="265">
        <v>0</v>
      </c>
      <c r="H736" s="265">
        <v>0</v>
      </c>
      <c r="I736" s="54">
        <f t="shared" si="37"/>
        <v>0</v>
      </c>
    </row>
    <row r="737" spans="1:9" x14ac:dyDescent="0.25">
      <c r="A737" s="75">
        <v>9100</v>
      </c>
      <c r="B737" s="46" t="str">
        <f t="shared" si="36"/>
        <v>6</v>
      </c>
      <c r="C737" s="75">
        <v>621</v>
      </c>
      <c r="D737" s="15" t="s">
        <v>123</v>
      </c>
      <c r="E737" s="265">
        <v>0</v>
      </c>
      <c r="F737" s="265">
        <v>0</v>
      </c>
      <c r="G737" s="265">
        <v>0</v>
      </c>
      <c r="H737" s="265">
        <v>0</v>
      </c>
      <c r="I737" s="54">
        <f t="shared" si="37"/>
        <v>0</v>
      </c>
    </row>
    <row r="738" spans="1:9" x14ac:dyDescent="0.25">
      <c r="A738" s="75">
        <v>9100</v>
      </c>
      <c r="B738" s="46" t="str">
        <f t="shared" si="36"/>
        <v>6</v>
      </c>
      <c r="C738" s="75">
        <v>622</v>
      </c>
      <c r="D738" s="15" t="s">
        <v>124</v>
      </c>
      <c r="E738" s="265">
        <v>0</v>
      </c>
      <c r="F738" s="265">
        <v>0</v>
      </c>
      <c r="G738" s="265">
        <v>0</v>
      </c>
      <c r="H738" s="265">
        <v>0</v>
      </c>
      <c r="I738" s="54">
        <f t="shared" si="37"/>
        <v>0</v>
      </c>
    </row>
    <row r="739" spans="1:9" x14ac:dyDescent="0.25">
      <c r="A739" s="75">
        <v>9100</v>
      </c>
      <c r="B739" s="46" t="str">
        <f t="shared" si="36"/>
        <v>6</v>
      </c>
      <c r="C739" s="75">
        <v>630</v>
      </c>
      <c r="D739" s="15" t="s">
        <v>125</v>
      </c>
      <c r="E739" s="265">
        <v>0</v>
      </c>
      <c r="F739" s="265">
        <v>0</v>
      </c>
      <c r="G739" s="265">
        <v>0</v>
      </c>
      <c r="H739" s="265">
        <v>0</v>
      </c>
      <c r="I739" s="54">
        <f t="shared" si="37"/>
        <v>0</v>
      </c>
    </row>
    <row r="740" spans="1:9" x14ac:dyDescent="0.25">
      <c r="A740" s="75">
        <v>9100</v>
      </c>
      <c r="B740" s="46" t="str">
        <f t="shared" si="36"/>
        <v>6</v>
      </c>
      <c r="C740" s="75">
        <v>641</v>
      </c>
      <c r="D740" s="15" t="s">
        <v>126</v>
      </c>
      <c r="E740" s="265">
        <v>0</v>
      </c>
      <c r="F740" s="265">
        <v>0</v>
      </c>
      <c r="G740" s="265">
        <v>0</v>
      </c>
      <c r="H740" s="265">
        <v>0</v>
      </c>
      <c r="I740" s="54">
        <f t="shared" si="37"/>
        <v>0</v>
      </c>
    </row>
    <row r="741" spans="1:9" x14ac:dyDescent="0.25">
      <c r="A741" s="75">
        <v>9100</v>
      </c>
      <c r="B741" s="46" t="str">
        <f t="shared" si="36"/>
        <v>6</v>
      </c>
      <c r="C741" s="75">
        <v>642</v>
      </c>
      <c r="D741" s="15" t="s">
        <v>127</v>
      </c>
      <c r="E741" s="265">
        <v>0</v>
      </c>
      <c r="F741" s="265">
        <v>0</v>
      </c>
      <c r="G741" s="265">
        <v>0</v>
      </c>
      <c r="H741" s="265">
        <v>0</v>
      </c>
      <c r="I741" s="54">
        <f t="shared" si="37"/>
        <v>0</v>
      </c>
    </row>
    <row r="742" spans="1:9" x14ac:dyDescent="0.25">
      <c r="A742" s="75">
        <v>9100</v>
      </c>
      <c r="B742" s="46" t="str">
        <f t="shared" si="36"/>
        <v>6</v>
      </c>
      <c r="C742" s="75">
        <v>643</v>
      </c>
      <c r="D742" s="15" t="s">
        <v>128</v>
      </c>
      <c r="E742" s="265">
        <v>0</v>
      </c>
      <c r="F742" s="265">
        <v>0</v>
      </c>
      <c r="G742" s="265">
        <v>0</v>
      </c>
      <c r="H742" s="265">
        <v>0</v>
      </c>
      <c r="I742" s="54">
        <f t="shared" si="37"/>
        <v>0</v>
      </c>
    </row>
    <row r="743" spans="1:9" x14ac:dyDescent="0.25">
      <c r="A743" s="75">
        <v>9100</v>
      </c>
      <c r="B743" s="46" t="str">
        <f t="shared" si="36"/>
        <v>6</v>
      </c>
      <c r="C743" s="75">
        <v>644</v>
      </c>
      <c r="D743" s="15" t="s">
        <v>129</v>
      </c>
      <c r="E743" s="265">
        <v>0</v>
      </c>
      <c r="F743" s="265">
        <v>0</v>
      </c>
      <c r="G743" s="265">
        <v>0</v>
      </c>
      <c r="H743" s="265">
        <v>0</v>
      </c>
      <c r="I743" s="54">
        <f t="shared" si="37"/>
        <v>0</v>
      </c>
    </row>
    <row r="744" spans="1:9" x14ac:dyDescent="0.25">
      <c r="A744" s="75">
        <v>9100</v>
      </c>
      <c r="B744" s="46" t="str">
        <f t="shared" si="36"/>
        <v>6</v>
      </c>
      <c r="C744" s="75">
        <v>680</v>
      </c>
      <c r="D744" s="15" t="s">
        <v>130</v>
      </c>
      <c r="E744" s="265">
        <v>0</v>
      </c>
      <c r="F744" s="265">
        <v>0</v>
      </c>
      <c r="G744" s="265">
        <v>0</v>
      </c>
      <c r="H744" s="265">
        <v>0</v>
      </c>
      <c r="I744" s="54">
        <f t="shared" si="37"/>
        <v>0</v>
      </c>
    </row>
    <row r="745" spans="1:9" x14ac:dyDescent="0.25">
      <c r="A745" s="75">
        <v>9100</v>
      </c>
      <c r="B745" s="46" t="str">
        <f t="shared" si="36"/>
        <v>6</v>
      </c>
      <c r="C745" s="75">
        <v>690</v>
      </c>
      <c r="D745" s="15" t="s">
        <v>131</v>
      </c>
      <c r="E745" s="265">
        <v>0</v>
      </c>
      <c r="F745" s="265">
        <v>0</v>
      </c>
      <c r="G745" s="265">
        <v>0</v>
      </c>
      <c r="H745" s="265">
        <v>0</v>
      </c>
      <c r="I745" s="54">
        <f t="shared" si="37"/>
        <v>0</v>
      </c>
    </row>
    <row r="746" spans="1:9" x14ac:dyDescent="0.25">
      <c r="A746" s="75">
        <v>9100</v>
      </c>
      <c r="B746" s="46" t="str">
        <f t="shared" si="36"/>
        <v>7</v>
      </c>
      <c r="C746" s="75">
        <v>720</v>
      </c>
      <c r="D746" s="15" t="s">
        <v>132</v>
      </c>
      <c r="E746" s="265">
        <v>0</v>
      </c>
      <c r="F746" s="265">
        <v>0</v>
      </c>
      <c r="G746" s="265">
        <v>0</v>
      </c>
      <c r="H746" s="265">
        <v>0</v>
      </c>
      <c r="I746" s="54">
        <f t="shared" si="37"/>
        <v>0</v>
      </c>
    </row>
    <row r="747" spans="1:9" x14ac:dyDescent="0.25">
      <c r="A747" s="75">
        <v>9100</v>
      </c>
      <c r="B747" s="46" t="str">
        <f t="shared" si="36"/>
        <v>7</v>
      </c>
      <c r="C747" s="75">
        <v>730</v>
      </c>
      <c r="D747" s="15" t="s">
        <v>133</v>
      </c>
      <c r="E747" s="265">
        <v>0</v>
      </c>
      <c r="F747" s="265">
        <v>0</v>
      </c>
      <c r="G747" s="265">
        <v>0</v>
      </c>
      <c r="H747" s="265">
        <v>0</v>
      </c>
      <c r="I747" s="54">
        <f t="shared" si="37"/>
        <v>0</v>
      </c>
    </row>
    <row r="748" spans="1:9" x14ac:dyDescent="0.25">
      <c r="A748" s="75">
        <v>9100</v>
      </c>
      <c r="B748" s="46" t="str">
        <f t="shared" si="36"/>
        <v>7</v>
      </c>
      <c r="C748" s="75">
        <v>750</v>
      </c>
      <c r="D748" s="15" t="s">
        <v>134</v>
      </c>
      <c r="E748" s="265">
        <v>0</v>
      </c>
      <c r="F748" s="265">
        <v>0</v>
      </c>
      <c r="G748" s="265">
        <v>0</v>
      </c>
      <c r="H748" s="265">
        <v>0</v>
      </c>
      <c r="I748" s="54">
        <f t="shared" si="37"/>
        <v>0</v>
      </c>
    </row>
    <row r="749" spans="1:9" x14ac:dyDescent="0.25">
      <c r="A749" s="75">
        <v>9100</v>
      </c>
      <c r="B749" s="46" t="str">
        <f t="shared" si="36"/>
        <v>7</v>
      </c>
      <c r="C749" s="75">
        <v>790</v>
      </c>
      <c r="D749" s="15" t="s">
        <v>135</v>
      </c>
      <c r="E749" s="265">
        <v>0</v>
      </c>
      <c r="F749" s="265">
        <v>0</v>
      </c>
      <c r="G749" s="265">
        <v>0</v>
      </c>
      <c r="H749" s="265">
        <v>0</v>
      </c>
      <c r="I749" s="54">
        <f t="shared" si="37"/>
        <v>0</v>
      </c>
    </row>
    <row r="750" spans="1:9" ht="15.5" x14ac:dyDescent="0.35">
      <c r="B750" s="46">
        <v>9100</v>
      </c>
      <c r="D750" s="76" t="s">
        <v>171</v>
      </c>
      <c r="E750" s="77">
        <f>SUM(E710:E749)</f>
        <v>0</v>
      </c>
      <c r="F750" s="77">
        <f>SUM(F710:F749)</f>
        <v>0</v>
      </c>
      <c r="G750" s="77">
        <f>SUM(G710:G749)</f>
        <v>0</v>
      </c>
      <c r="H750" s="77">
        <f>SUM(H710:H749)</f>
        <v>0</v>
      </c>
      <c r="I750" s="77">
        <f>SUM(I710:I749)</f>
        <v>0</v>
      </c>
    </row>
    <row r="751" spans="1:9" ht="18.5" x14ac:dyDescent="0.45">
      <c r="A751" s="48" t="s">
        <v>178</v>
      </c>
      <c r="B751" s="49"/>
      <c r="C751" s="50"/>
      <c r="D751" s="50"/>
      <c r="E751" s="74"/>
      <c r="F751" s="74"/>
      <c r="G751" s="74"/>
      <c r="H751" s="74"/>
      <c r="I751" s="74"/>
    </row>
    <row r="752" spans="1:9" x14ac:dyDescent="0.25">
      <c r="A752" s="75">
        <v>9200</v>
      </c>
      <c r="B752" s="46" t="str">
        <f>LEFT(C752,1)</f>
        <v>7</v>
      </c>
      <c r="C752" s="75">
        <v>710</v>
      </c>
      <c r="D752" s="3" t="s">
        <v>179</v>
      </c>
      <c r="E752" s="265">
        <v>0</v>
      </c>
      <c r="F752" s="265">
        <v>0</v>
      </c>
      <c r="G752" s="265">
        <v>0</v>
      </c>
      <c r="H752" s="265">
        <v>0</v>
      </c>
      <c r="I752" s="54">
        <f t="shared" ref="I752:I753" si="38">SUM(E752:H752)</f>
        <v>0</v>
      </c>
    </row>
    <row r="753" spans="1:9" x14ac:dyDescent="0.25">
      <c r="A753" s="75">
        <v>9200</v>
      </c>
      <c r="B753" s="46" t="str">
        <f>LEFT(C753,1)</f>
        <v>7</v>
      </c>
      <c r="C753" s="75">
        <v>720</v>
      </c>
      <c r="D753" s="15" t="s">
        <v>132</v>
      </c>
      <c r="E753" s="265">
        <v>0</v>
      </c>
      <c r="F753" s="265">
        <v>0</v>
      </c>
      <c r="G753" s="265">
        <v>0</v>
      </c>
      <c r="H753" s="265">
        <v>0</v>
      </c>
      <c r="I753" s="54">
        <f t="shared" si="38"/>
        <v>0</v>
      </c>
    </row>
    <row r="754" spans="1:9" ht="15.5" x14ac:dyDescent="0.35">
      <c r="B754" s="46">
        <v>9200</v>
      </c>
      <c r="D754" s="76" t="s">
        <v>180</v>
      </c>
      <c r="E754" s="77">
        <f>SUM(E752:E753)</f>
        <v>0</v>
      </c>
      <c r="F754" s="77">
        <f>SUM(F752:F753)</f>
        <v>0</v>
      </c>
      <c r="G754" s="77">
        <f>SUM(G752:G753)</f>
        <v>0</v>
      </c>
      <c r="H754" s="77">
        <f>SUM(H752:H753)</f>
        <v>0</v>
      </c>
      <c r="I754" s="77">
        <f>SUM(I752:I753)</f>
        <v>0</v>
      </c>
    </row>
    <row r="756" spans="1:9" x14ac:dyDescent="0.25">
      <c r="A756" s="75"/>
      <c r="B756" s="78" t="s">
        <v>300</v>
      </c>
      <c r="C756" s="75"/>
      <c r="D756" s="15" t="s">
        <v>86</v>
      </c>
      <c r="E756" s="265">
        <v>0</v>
      </c>
      <c r="F756" s="265">
        <v>0</v>
      </c>
      <c r="G756" s="265">
        <v>0</v>
      </c>
      <c r="H756" s="265">
        <v>0</v>
      </c>
      <c r="I756" s="54">
        <f t="shared" ref="I756" si="39">SUM(E756:H756)</f>
        <v>0</v>
      </c>
    </row>
    <row r="758" spans="1:9" ht="15.5" x14ac:dyDescent="0.35">
      <c r="D758" s="76" t="s">
        <v>87</v>
      </c>
      <c r="E758" s="77">
        <f>SUM(E33:E754)/2+E756</f>
        <v>2318480</v>
      </c>
      <c r="F758" s="77">
        <f>SUM(F33:F754)/2+F756</f>
        <v>205000</v>
      </c>
      <c r="G758" s="77">
        <f>SUM(G33:G754)/2+G756</f>
        <v>0</v>
      </c>
      <c r="H758" s="77">
        <f>SUM(H33:H754)/2+H756</f>
        <v>189000</v>
      </c>
      <c r="I758" s="77">
        <f>SUM(E758:H758)</f>
        <v>2712480</v>
      </c>
    </row>
    <row r="759" spans="1:9" ht="15.5" x14ac:dyDescent="0.35">
      <c r="D759" s="76" t="s">
        <v>82</v>
      </c>
      <c r="E759" s="77">
        <f>+E29</f>
        <v>2318556</v>
      </c>
      <c r="F759" s="77">
        <f>+F29</f>
        <v>205000</v>
      </c>
      <c r="G759" s="77">
        <f>+G29</f>
        <v>0</v>
      </c>
      <c r="H759" s="77">
        <f>+H29</f>
        <v>189000</v>
      </c>
      <c r="I759" s="77">
        <f>SUM(E759:H759)</f>
        <v>2712556</v>
      </c>
    </row>
    <row r="760" spans="1:9" ht="15.5" x14ac:dyDescent="0.35">
      <c r="D760" s="76" t="s">
        <v>173</v>
      </c>
      <c r="E760" s="77">
        <f>+E759-E758</f>
        <v>76</v>
      </c>
      <c r="F760" s="77">
        <f>+F759-F758</f>
        <v>0</v>
      </c>
      <c r="G760" s="77">
        <f>+G759-G758</f>
        <v>0</v>
      </c>
      <c r="H760" s="77">
        <f>+H759-H758</f>
        <v>0</v>
      </c>
      <c r="I760" s="77">
        <f>SUM(E760:H760)</f>
        <v>76</v>
      </c>
    </row>
    <row r="762" spans="1:9" ht="18.5" x14ac:dyDescent="0.45">
      <c r="A762" s="48" t="s">
        <v>250</v>
      </c>
      <c r="B762" s="49"/>
      <c r="C762" s="50"/>
      <c r="D762" s="50"/>
      <c r="E762" s="74"/>
      <c r="F762" s="74"/>
      <c r="G762" s="74"/>
      <c r="H762" s="74"/>
      <c r="I762" s="74"/>
    </row>
    <row r="763" spans="1:9" x14ac:dyDescent="0.25">
      <c r="A763" s="75">
        <v>3600</v>
      </c>
      <c r="B763" s="46" t="s">
        <v>296</v>
      </c>
      <c r="C763" s="75"/>
      <c r="D763" s="53" t="s">
        <v>251</v>
      </c>
      <c r="E763" s="265">
        <v>0</v>
      </c>
      <c r="F763" s="265">
        <v>0</v>
      </c>
      <c r="G763" s="265">
        <v>0</v>
      </c>
      <c r="H763" s="265">
        <v>0</v>
      </c>
      <c r="I763" s="54">
        <f t="shared" ref="I763:I765" si="40">SUM(E763:H763)</f>
        <v>0</v>
      </c>
    </row>
    <row r="764" spans="1:9" x14ac:dyDescent="0.25">
      <c r="A764" s="75">
        <v>3700</v>
      </c>
      <c r="B764" s="46" t="s">
        <v>297</v>
      </c>
      <c r="C764" s="75"/>
      <c r="D764" s="55" t="s">
        <v>256</v>
      </c>
      <c r="E764" s="265">
        <v>0</v>
      </c>
      <c r="F764" s="265">
        <v>0</v>
      </c>
      <c r="G764" s="265">
        <v>0</v>
      </c>
      <c r="H764" s="265">
        <v>0</v>
      </c>
      <c r="I764" s="54">
        <f t="shared" si="40"/>
        <v>0</v>
      </c>
    </row>
    <row r="765" spans="1:9" x14ac:dyDescent="0.25">
      <c r="A765" s="75">
        <v>9700</v>
      </c>
      <c r="B765" s="46" t="s">
        <v>298</v>
      </c>
      <c r="C765" s="75"/>
      <c r="D765" s="53" t="s">
        <v>252</v>
      </c>
      <c r="E765" s="265">
        <v>0</v>
      </c>
      <c r="F765" s="265">
        <v>0</v>
      </c>
      <c r="G765" s="265">
        <v>0</v>
      </c>
      <c r="H765" s="265">
        <v>0</v>
      </c>
      <c r="I765" s="54">
        <f t="shared" si="40"/>
        <v>0</v>
      </c>
    </row>
    <row r="766" spans="1:9" ht="15.5" x14ac:dyDescent="0.35">
      <c r="D766" s="76" t="s">
        <v>253</v>
      </c>
      <c r="E766" s="77">
        <f>SUM(E763:E765)</f>
        <v>0</v>
      </c>
      <c r="F766" s="77">
        <f>SUM(F763:F765)</f>
        <v>0</v>
      </c>
      <c r="G766" s="77">
        <f>SUM(G763:G765)</f>
        <v>0</v>
      </c>
      <c r="H766" s="77">
        <f>SUM(H763:H765)</f>
        <v>0</v>
      </c>
      <c r="I766" s="77">
        <f>SUM(E766:H766)</f>
        <v>0</v>
      </c>
    </row>
    <row r="768" spans="1:9" ht="15.5" x14ac:dyDescent="0.35">
      <c r="D768" s="76" t="s">
        <v>254</v>
      </c>
      <c r="E768" s="77">
        <f>+E760+E766</f>
        <v>76</v>
      </c>
      <c r="F768" s="77">
        <f t="shared" ref="F768:H768" si="41">+F760+F766</f>
        <v>0</v>
      </c>
      <c r="G768" s="77">
        <f t="shared" si="41"/>
        <v>0</v>
      </c>
      <c r="H768" s="77">
        <f t="shared" si="41"/>
        <v>0</v>
      </c>
      <c r="I768" s="77">
        <f>SUM(E768:H768)</f>
        <v>76</v>
      </c>
    </row>
    <row r="769" spans="2:9" ht="15.5" x14ac:dyDescent="0.35">
      <c r="D769" s="65"/>
      <c r="E769" s="95"/>
      <c r="F769" s="95"/>
      <c r="G769" s="95"/>
      <c r="H769" s="95"/>
      <c r="I769" s="95"/>
    </row>
    <row r="770" spans="2:9" ht="15.5" x14ac:dyDescent="0.35">
      <c r="B770" s="46" t="s">
        <v>299</v>
      </c>
      <c r="D770" s="76" t="s">
        <v>410</v>
      </c>
      <c r="E770" s="266">
        <v>476552</v>
      </c>
      <c r="F770" s="266">
        <v>0</v>
      </c>
      <c r="G770" s="266">
        <v>0</v>
      </c>
      <c r="H770" s="266">
        <v>0</v>
      </c>
      <c r="I770" s="85">
        <f>SUM(E770:H770)</f>
        <v>476552</v>
      </c>
    </row>
    <row r="771" spans="2:9" ht="15.5" x14ac:dyDescent="0.35">
      <c r="B771" s="46" t="s">
        <v>301</v>
      </c>
      <c r="D771" s="76" t="s">
        <v>255</v>
      </c>
      <c r="E771" s="266">
        <v>0</v>
      </c>
      <c r="F771" s="266">
        <v>0</v>
      </c>
      <c r="G771" s="266">
        <v>0</v>
      </c>
      <c r="H771" s="266">
        <v>0</v>
      </c>
      <c r="I771" s="85">
        <f>SUM(E771:H771)</f>
        <v>0</v>
      </c>
    </row>
    <row r="772" spans="2:9" ht="15.5" x14ac:dyDescent="0.35">
      <c r="D772" s="76" t="s">
        <v>258</v>
      </c>
      <c r="E772" s="77">
        <f>SUM(E770:E771)</f>
        <v>476552</v>
      </c>
      <c r="F772" s="77">
        <f t="shared" ref="F772:H772" si="42">SUM(F770:F771)</f>
        <v>0</v>
      </c>
      <c r="G772" s="77">
        <f t="shared" si="42"/>
        <v>0</v>
      </c>
      <c r="H772" s="77">
        <f t="shared" si="42"/>
        <v>0</v>
      </c>
      <c r="I772" s="77">
        <f>SUM(E772:H772)</f>
        <v>476552</v>
      </c>
    </row>
    <row r="774" spans="2:9" ht="15.5" x14ac:dyDescent="0.35">
      <c r="D774" s="76" t="s">
        <v>172</v>
      </c>
      <c r="E774" s="77">
        <f>+E768+E772</f>
        <v>476628</v>
      </c>
      <c r="F774" s="77">
        <f t="shared" ref="F774:H774" si="43">+F768+F772</f>
        <v>0</v>
      </c>
      <c r="G774" s="77">
        <f t="shared" si="43"/>
        <v>0</v>
      </c>
      <c r="H774" s="77">
        <f t="shared" si="43"/>
        <v>0</v>
      </c>
      <c r="I774" s="77">
        <f>SUM(E774:H774)</f>
        <v>476628</v>
      </c>
    </row>
  </sheetData>
  <mergeCells count="6">
    <mergeCell ref="J8:N8"/>
    <mergeCell ref="A5:I5"/>
    <mergeCell ref="A31:I31"/>
    <mergeCell ref="A1:I1"/>
    <mergeCell ref="G3:H3"/>
    <mergeCell ref="A2:I2"/>
  </mergeCells>
  <printOptions horizontalCentered="1"/>
  <pageMargins left="0.2" right="0.2" top="0.5" bottom="0.5" header="0.3" footer="0.3"/>
  <pageSetup scale="83" orientation="portrait" r:id="rId1"/>
  <headerFooter>
    <oddFooter>&amp;L&amp;8 2018-19 Complete Annual Budget&amp;R&amp;8&amp;P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5"/>
  <sheetViews>
    <sheetView zoomScaleNormal="100" workbookViewId="0">
      <pane ySplit="6" topLeftCell="A7" activePane="bottomLeft" state="frozen"/>
      <selection activeCell="E14" sqref="E14:F14"/>
      <selection pane="bottomLeft" activeCell="C8" sqref="C8"/>
    </sheetView>
  </sheetViews>
  <sheetFormatPr defaultRowHeight="12.5" x14ac:dyDescent="0.25"/>
  <cols>
    <col min="1" max="1" width="6.453125" customWidth="1"/>
    <col min="2" max="2" width="43.1796875" customWidth="1"/>
    <col min="3" max="7" width="15.7265625" customWidth="1"/>
  </cols>
  <sheetData>
    <row r="1" spans="1:7" ht="23.5" x14ac:dyDescent="0.55000000000000004">
      <c r="A1" s="419" t="s">
        <v>408</v>
      </c>
      <c r="B1" s="419"/>
      <c r="C1" s="419"/>
      <c r="D1" s="419"/>
      <c r="E1" s="419"/>
      <c r="F1" s="419"/>
      <c r="G1" s="419"/>
    </row>
    <row r="2" spans="1:7" ht="23.15" customHeight="1" x14ac:dyDescent="0.35">
      <c r="A2" s="422" t="str">
        <f>+'2-Complete Budget'!A2:I2</f>
        <v xml:space="preserve">5060 SunFire High School 
 </v>
      </c>
      <c r="B2" s="422"/>
      <c r="C2" s="422"/>
      <c r="D2" s="422"/>
      <c r="E2" s="422"/>
      <c r="F2" s="422"/>
      <c r="G2" s="422"/>
    </row>
    <row r="3" spans="1:7" s="1" customFormat="1" ht="19" customHeight="1" thickBot="1" x14ac:dyDescent="0.3">
      <c r="A3" s="2"/>
      <c r="B3" s="2"/>
      <c r="C3" s="2"/>
    </row>
    <row r="4" spans="1:7" ht="18.649999999999999" customHeight="1" thickBot="1" x14ac:dyDescent="0.35">
      <c r="A4" s="3"/>
      <c r="B4" s="3"/>
      <c r="F4" s="105" t="s">
        <v>257</v>
      </c>
      <c r="G4" s="106">
        <f>+'2-Complete Budget'!I3</f>
        <v>306.38</v>
      </c>
    </row>
    <row r="5" spans="1:7" ht="16.5" customHeight="1" x14ac:dyDescent="0.3">
      <c r="A5" s="3"/>
      <c r="F5" s="4"/>
      <c r="G5" s="103"/>
    </row>
    <row r="6" spans="1:7" ht="16.5" customHeight="1" x14ac:dyDescent="0.35">
      <c r="A6" s="3"/>
      <c r="B6" s="4"/>
      <c r="C6" s="79" t="s">
        <v>245</v>
      </c>
      <c r="D6" s="79" t="s">
        <v>246</v>
      </c>
      <c r="E6" s="79" t="s">
        <v>247</v>
      </c>
      <c r="F6" s="79" t="s">
        <v>248</v>
      </c>
      <c r="G6" s="79" t="s">
        <v>249</v>
      </c>
    </row>
    <row r="7" spans="1:7" ht="28.5" x14ac:dyDescent="0.65">
      <c r="A7" s="423" t="s">
        <v>78</v>
      </c>
      <c r="B7" s="424"/>
      <c r="C7" s="6"/>
      <c r="D7" s="6"/>
      <c r="E7" s="6"/>
      <c r="F7" s="6"/>
      <c r="G7" s="6"/>
    </row>
    <row r="8" spans="1:7" x14ac:dyDescent="0.25">
      <c r="A8" s="7" t="s">
        <v>216</v>
      </c>
      <c r="B8" s="8"/>
      <c r="C8" s="9">
        <f>SUMIF('2-Complete Budget'!$B$8:$B$28,"32",'2-Complete Budget'!$E$8:$E$28)</f>
        <v>0</v>
      </c>
      <c r="D8" s="9">
        <f>SUMIF('2-Complete Budget'!$B$8:$B$28,"32",'2-Complete Budget'!$F$8:$F$28)</f>
        <v>205000</v>
      </c>
      <c r="E8" s="9">
        <f>SUMIF('2-Complete Budget'!$B$8:$B$28,"32",'2-Complete Budget'!$G$8:$G$28)</f>
        <v>0</v>
      </c>
      <c r="F8" s="9">
        <f>SUMIF('2-Complete Budget'!$B$8:$B$28,"32",'2-Complete Budget'!$H$8:$H$28)</f>
        <v>0</v>
      </c>
      <c r="G8" s="9">
        <f>SUM(C8:F8)</f>
        <v>205000</v>
      </c>
    </row>
    <row r="9" spans="1:7" x14ac:dyDescent="0.25">
      <c r="A9" s="7" t="s">
        <v>217</v>
      </c>
      <c r="B9" s="8"/>
      <c r="C9" s="9">
        <f>SUMIF('2-Complete Budget'!$B$8:$B$28,"33",'2-Complete Budget'!$E$8:$E$28)</f>
        <v>282774</v>
      </c>
      <c r="D9" s="9">
        <f>SUMIF('2-Complete Budget'!$B$8:$B$28,"33",'2-Complete Budget'!$F$8:$F$28)</f>
        <v>0</v>
      </c>
      <c r="E9" s="9">
        <f>SUMIF('2-Complete Budget'!$B$8:$B$28,"33",'2-Complete Budget'!$G$8:$G$28)</f>
        <v>0</v>
      </c>
      <c r="F9" s="9">
        <f>SUMIF('2-Complete Budget'!$B$8:$B$28,"33",'2-Complete Budget'!$H$8:$H$28)</f>
        <v>189000</v>
      </c>
      <c r="G9" s="9">
        <f t="shared" ref="G9:G12" si="0">SUM(C9:F9)</f>
        <v>471774</v>
      </c>
    </row>
    <row r="10" spans="1:7" x14ac:dyDescent="0.25">
      <c r="A10" s="7" t="s">
        <v>221</v>
      </c>
      <c r="B10" s="8"/>
      <c r="C10" s="9">
        <f>SUMIF('2-Complete Budget'!$B$8:$B$28,"331",'2-Complete Budget'!$E$8:$E$28)</f>
        <v>1929082</v>
      </c>
      <c r="D10" s="9">
        <f>SUMIF('2-Complete Budget'!$B$8:$B$28,"331",'2-Complete Budget'!$F$8:$F$28)</f>
        <v>0</v>
      </c>
      <c r="E10" s="9">
        <f>SUMIF('2-Complete Budget'!$B$8:$B$28,"331",'2-Complete Budget'!$G$8:$G$28)</f>
        <v>0</v>
      </c>
      <c r="F10" s="9">
        <f>SUMIF('2-Complete Budget'!$B$8:$B$28,"331",'2-Complete Budget'!$H$8:$H$28)</f>
        <v>0</v>
      </c>
      <c r="G10" s="9">
        <f t="shared" si="0"/>
        <v>1929082</v>
      </c>
    </row>
    <row r="11" spans="1:7" x14ac:dyDescent="0.25">
      <c r="A11" s="7" t="s">
        <v>218</v>
      </c>
      <c r="B11" s="8"/>
      <c r="C11" s="9">
        <f>SUMIF('2-Complete Budget'!$B$8:$B$28,"34",'2-Complete Budget'!$E$8:$E$28)</f>
        <v>106700</v>
      </c>
      <c r="D11" s="9">
        <f>SUMIF('2-Complete Budget'!$B$8:$B$28,"34",'2-Complete Budget'!$F$8:$F$28)</f>
        <v>0</v>
      </c>
      <c r="E11" s="9">
        <f>SUMIF('2-Complete Budget'!$B$8:$B$28,"34",'2-Complete Budget'!$G$8:$G$28)</f>
        <v>0</v>
      </c>
      <c r="F11" s="9">
        <f>SUMIF('2-Complete Budget'!$B$8:$B$28,"34",'2-Complete Budget'!$H$8:$H$28)</f>
        <v>0</v>
      </c>
      <c r="G11" s="9">
        <f t="shared" si="0"/>
        <v>106700</v>
      </c>
    </row>
    <row r="12" spans="1:7" x14ac:dyDescent="0.25">
      <c r="A12" s="10" t="s">
        <v>197</v>
      </c>
      <c r="B12" s="8"/>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5.5" x14ac:dyDescent="0.35">
      <c r="A13" s="11" t="s">
        <v>82</v>
      </c>
      <c r="B13" s="12"/>
      <c r="C13" s="13">
        <f>SUM(C8:C12)</f>
        <v>2318556</v>
      </c>
      <c r="D13" s="13">
        <f>SUM(D8:D12)</f>
        <v>205000</v>
      </c>
      <c r="E13" s="13">
        <f>SUM(E8:E12)</f>
        <v>0</v>
      </c>
      <c r="F13" s="13">
        <f>SUM(F8:F12)</f>
        <v>189000</v>
      </c>
      <c r="G13" s="13">
        <f>SUM(C13:F13)</f>
        <v>2712556</v>
      </c>
    </row>
    <row r="14" spans="1:7" x14ac:dyDescent="0.25">
      <c r="A14" s="3"/>
      <c r="B14" s="3"/>
      <c r="C14" s="3"/>
      <c r="D14" s="3"/>
      <c r="E14" s="3"/>
      <c r="F14" s="3"/>
      <c r="G14" s="3"/>
    </row>
    <row r="15" spans="1:7" ht="28.5" x14ac:dyDescent="0.65">
      <c r="A15" s="5" t="s">
        <v>83</v>
      </c>
      <c r="B15" s="6"/>
      <c r="C15" s="6"/>
      <c r="D15" s="6"/>
      <c r="E15" s="6"/>
      <c r="F15" s="6"/>
      <c r="G15" s="6"/>
    </row>
    <row r="16" spans="1:7" ht="18.5" x14ac:dyDescent="0.45">
      <c r="A16" s="14" t="s">
        <v>198</v>
      </c>
      <c r="B16" s="14"/>
      <c r="C16" s="14"/>
      <c r="D16" s="14"/>
      <c r="E16" s="14"/>
      <c r="F16" s="14"/>
      <c r="G16" s="14"/>
    </row>
    <row r="17" spans="1:7" x14ac:dyDescent="0.25">
      <c r="A17" s="3"/>
      <c r="B17" s="15" t="s">
        <v>199</v>
      </c>
      <c r="C17" s="9">
        <f>SUMIF('2-Complete Budget'!$B$33:$B$114,"1",'2-Complete Budget'!$E$33:$E$114)</f>
        <v>510000</v>
      </c>
      <c r="D17" s="9">
        <f>SUMIF('2-Complete Budget'!$B$33:$B$114,"1",'2-Complete Budget'!$F$33:$F$114)</f>
        <v>0</v>
      </c>
      <c r="E17" s="9">
        <f>SUMIF('2-Complete Budget'!$B$33:$B$114,"1",'2-Complete Budget'!$G$33:$G$114)</f>
        <v>0</v>
      </c>
      <c r="F17" s="9">
        <f>SUMIF('2-Complete Budget'!$B$33:$B$114,"1",'2-Complete Budget'!$H$33:$H$114)</f>
        <v>0</v>
      </c>
      <c r="G17" s="9">
        <f t="shared" ref="G17:G23" si="1">SUM(C17:F17)</f>
        <v>510000</v>
      </c>
    </row>
    <row r="18" spans="1:7" x14ac:dyDescent="0.25">
      <c r="A18" s="3"/>
      <c r="B18" s="15" t="s">
        <v>200</v>
      </c>
      <c r="C18" s="9">
        <f>SUMIF('2-Complete Budget'!$B$33:$B$114,"2",'2-Complete Budget'!$E$33:$E$114)</f>
        <v>89800</v>
      </c>
      <c r="D18" s="9">
        <f>SUMIF('2-Complete Budget'!$B$33:$B$114,"2",'2-Complete Budget'!$F$33:$F$114)</f>
        <v>0</v>
      </c>
      <c r="E18" s="9">
        <f>SUMIF('2-Complete Budget'!$B$33:$B$114,"2",'2-Complete Budget'!$G$33:$G$114)</f>
        <v>0</v>
      </c>
      <c r="F18" s="9">
        <f>SUMIF('2-Complete Budget'!$B$33:$B$114,"2",'2-Complete Budget'!$H$33:$H$114)</f>
        <v>0</v>
      </c>
      <c r="G18" s="9">
        <f t="shared" si="1"/>
        <v>89800</v>
      </c>
    </row>
    <row r="19" spans="1:7" x14ac:dyDescent="0.25">
      <c r="A19" s="3"/>
      <c r="B19" s="15" t="s">
        <v>201</v>
      </c>
      <c r="C19" s="9">
        <f>SUMIF('2-Complete Budget'!$B$33:$B$114,"3",'2-Complete Budget'!$E$33:$E$114)</f>
        <v>30000</v>
      </c>
      <c r="D19" s="9">
        <f>SUMIF('2-Complete Budget'!$B$33:$B$114,"3",'2-Complete Budget'!$F$33:$F$114)</f>
        <v>0</v>
      </c>
      <c r="E19" s="9">
        <f>SUMIF('2-Complete Budget'!$B$33:$B$114,"3",'2-Complete Budget'!$G$33:$G$114)</f>
        <v>0</v>
      </c>
      <c r="F19" s="9">
        <f>SUMIF('2-Complete Budget'!$B$33:$B$114,"3",'2-Complete Budget'!$H$33:$H$114)</f>
        <v>0</v>
      </c>
      <c r="G19" s="9">
        <f t="shared" si="1"/>
        <v>30000</v>
      </c>
    </row>
    <row r="20" spans="1:7" x14ac:dyDescent="0.25">
      <c r="A20" s="3"/>
      <c r="B20" s="15" t="s">
        <v>202</v>
      </c>
      <c r="C20" s="9">
        <f>SUMIF('2-Complete Budget'!$B$33:$B$114,"4",'2-Complete Budget'!$E$33:$E$114)</f>
        <v>0</v>
      </c>
      <c r="D20" s="9">
        <f>SUMIF('2-Complete Budget'!$B$33:$B$114,"4",'2-Complete Budget'!$F$33:$F$114)</f>
        <v>0</v>
      </c>
      <c r="E20" s="9">
        <f>SUMIF('2-Complete Budget'!$B$33:$B$114,"4",'2-Complete Budget'!$G$33:$G$114)</f>
        <v>0</v>
      </c>
      <c r="F20" s="9">
        <f>SUMIF('2-Complete Budget'!$B$33:$B$114,"4",'2-Complete Budget'!$H$33:$H$114)</f>
        <v>0</v>
      </c>
      <c r="G20" s="9">
        <f t="shared" si="1"/>
        <v>0</v>
      </c>
    </row>
    <row r="21" spans="1:7" x14ac:dyDescent="0.25">
      <c r="A21" s="3"/>
      <c r="B21" s="15" t="s">
        <v>203</v>
      </c>
      <c r="C21" s="9">
        <f>SUMIF('2-Complete Budget'!$B$33:$B$114,"5",'2-Complete Budget'!$E$33:$E$114)</f>
        <v>104500</v>
      </c>
      <c r="D21" s="9">
        <f>SUMIF('2-Complete Budget'!$B$33:$B$114,"5",'2-Complete Budget'!$F$33:$F$114)</f>
        <v>0</v>
      </c>
      <c r="E21" s="9">
        <f>SUMIF('2-Complete Budget'!$B$33:$B$114,"5",'2-Complete Budget'!$G$33:$G$114)</f>
        <v>0</v>
      </c>
      <c r="F21" s="9">
        <f>SUMIF('2-Complete Budget'!$B$33:$B$114,"5",'2-Complete Budget'!$H$33:$H$114)</f>
        <v>0</v>
      </c>
      <c r="G21" s="9">
        <f t="shared" si="1"/>
        <v>104500</v>
      </c>
    </row>
    <row r="22" spans="1:7" x14ac:dyDescent="0.25">
      <c r="A22" s="3"/>
      <c r="B22" s="15" t="s">
        <v>204</v>
      </c>
      <c r="C22" s="9">
        <f>SUMIF('2-Complete Budget'!$B$33:$B$114,"6",'2-Complete Budget'!$E$33:$E$114)</f>
        <v>90000</v>
      </c>
      <c r="D22" s="9">
        <f>SUMIF('2-Complete Budget'!$B$33:$B$114,"6",'2-Complete Budget'!$F$33:$F$114)</f>
        <v>0</v>
      </c>
      <c r="E22" s="9">
        <f>SUMIF('2-Complete Budget'!$B$33:$B$114,"6",'2-Complete Budget'!$G$33:$G$114)</f>
        <v>0</v>
      </c>
      <c r="F22" s="9">
        <f>SUMIF('2-Complete Budget'!$B$33:$B$114,"6",'2-Complete Budget'!$H$33:$H$114)</f>
        <v>0</v>
      </c>
      <c r="G22" s="9">
        <f t="shared" si="1"/>
        <v>90000</v>
      </c>
    </row>
    <row r="23" spans="1:7" x14ac:dyDescent="0.25">
      <c r="A23" s="3"/>
      <c r="B23" s="15" t="s">
        <v>205</v>
      </c>
      <c r="C23" s="9">
        <f>SUMIF('2-Complete Budget'!$B$33:$B$114,"7",'2-Complete Budget'!$E$33:$E$114)</f>
        <v>0</v>
      </c>
      <c r="D23" s="9">
        <f>SUMIF('2-Complete Budget'!$B$33:$B$114,"7",'2-Complete Budget'!$F$33:$F$114)</f>
        <v>0</v>
      </c>
      <c r="E23" s="9">
        <f>SUMIF('2-Complete Budget'!$B$33:$B$114,"7",'2-Complete Budget'!$G$33:$G$114)</f>
        <v>0</v>
      </c>
      <c r="F23" s="9">
        <f>SUMIF('2-Complete Budget'!$B$33:$B$114,"7",'2-Complete Budget'!$H$33:$H$114)</f>
        <v>0</v>
      </c>
      <c r="G23" s="9">
        <f t="shared" si="1"/>
        <v>0</v>
      </c>
    </row>
    <row r="24" spans="1:7" ht="15.5" x14ac:dyDescent="0.35">
      <c r="A24" s="11" t="s">
        <v>206</v>
      </c>
      <c r="B24" s="12"/>
      <c r="C24" s="13">
        <f>SUM(C17:C23)</f>
        <v>824300</v>
      </c>
      <c r="D24" s="13">
        <f>SUM(D17:D23)</f>
        <v>0</v>
      </c>
      <c r="E24" s="13">
        <f>SUM(E17:E23)</f>
        <v>0</v>
      </c>
      <c r="F24" s="13">
        <f>SUM(F17:F23)</f>
        <v>0</v>
      </c>
      <c r="G24" s="13">
        <f>SUM(C24:F24)</f>
        <v>824300</v>
      </c>
    </row>
    <row r="25" spans="1:7" x14ac:dyDescent="0.25">
      <c r="A25" s="3"/>
      <c r="B25" s="3"/>
      <c r="C25" s="3"/>
      <c r="D25" s="3"/>
      <c r="E25" s="3"/>
      <c r="F25" s="3"/>
      <c r="G25" s="3"/>
    </row>
    <row r="26" spans="1:7" ht="18.5" x14ac:dyDescent="0.45">
      <c r="A26" s="14" t="s">
        <v>207</v>
      </c>
      <c r="B26" s="14"/>
      <c r="C26" s="14"/>
      <c r="D26" s="14"/>
      <c r="E26" s="14"/>
      <c r="F26" s="14"/>
      <c r="G26" s="14"/>
    </row>
    <row r="27" spans="1:7" x14ac:dyDescent="0.25">
      <c r="A27" s="3"/>
      <c r="B27" s="15" t="s">
        <v>199</v>
      </c>
      <c r="C27" s="9">
        <f>SUMIF('2-Complete Budget'!$B$117:$B$324,"1",'2-Complete Budget'!$E$117:$E$324)</f>
        <v>55000</v>
      </c>
      <c r="D27" s="9">
        <f>SUMIF('2-Complete Budget'!$B$117:$B$324,"1",'2-Complete Budget'!$F$117:$F$324)</f>
        <v>0</v>
      </c>
      <c r="E27" s="9">
        <f>SUMIF('2-Complete Budget'!$B$117:$B$324,"1",'2-Complete Budget'!$G$117:$G$324)</f>
        <v>0</v>
      </c>
      <c r="F27" s="9">
        <f>SUMIF('2-Complete Budget'!$B$117:$B$324,"1",'2-Complete Budget'!$H$117:$H$324)</f>
        <v>0</v>
      </c>
      <c r="G27" s="9">
        <f t="shared" ref="G27:G33" si="2">SUM(C27:F27)</f>
        <v>55000</v>
      </c>
    </row>
    <row r="28" spans="1:7" x14ac:dyDescent="0.25">
      <c r="A28" s="3"/>
      <c r="B28" s="15" t="s">
        <v>200</v>
      </c>
      <c r="C28" s="9">
        <f>SUMIF('2-Complete Budget'!$B$117:$B$324,"2",'2-Complete Budget'!$E$117:$E$324)</f>
        <v>8900</v>
      </c>
      <c r="D28" s="9">
        <f>SUMIF('2-Complete Budget'!$B$117:$B$324,"2",'2-Complete Budget'!$F$117:$F$324)</f>
        <v>0</v>
      </c>
      <c r="E28" s="9">
        <f>SUMIF('2-Complete Budget'!$B$117:$B$324,"2",'2-Complete Budget'!$G$117:$G$324)</f>
        <v>0</v>
      </c>
      <c r="F28" s="9">
        <f>SUMIF('2-Complete Budget'!$B$117:$B$324,"2",'2-Complete Budget'!$H$117:$H$324)</f>
        <v>0</v>
      </c>
      <c r="G28" s="9">
        <f t="shared" si="2"/>
        <v>8900</v>
      </c>
    </row>
    <row r="29" spans="1:7" x14ac:dyDescent="0.25">
      <c r="A29" s="3"/>
      <c r="B29" s="15" t="s">
        <v>201</v>
      </c>
      <c r="C29" s="9">
        <f>SUMIF('2-Complete Budget'!$B$117:$B$324,"3",'2-Complete Budget'!$E$117:$E$324)</f>
        <v>40500</v>
      </c>
      <c r="D29" s="9">
        <f>SUMIF('2-Complete Budget'!$B$117:$B$324,"3",'2-Complete Budget'!$F$117:$F$324)</f>
        <v>0</v>
      </c>
      <c r="E29" s="9">
        <f>SUMIF('2-Complete Budget'!$B$117:$B$324,"3",'2-Complete Budget'!$G$117:$G$324)</f>
        <v>0</v>
      </c>
      <c r="F29" s="9">
        <f>SUMIF('2-Complete Budget'!$B$117:$B$324,"3",'2-Complete Budget'!$H$117:$H$324)</f>
        <v>0</v>
      </c>
      <c r="G29" s="9">
        <f t="shared" si="2"/>
        <v>40500</v>
      </c>
    </row>
    <row r="30" spans="1:7" x14ac:dyDescent="0.25">
      <c r="A30" s="3"/>
      <c r="B30" s="15" t="s">
        <v>202</v>
      </c>
      <c r="C30" s="9">
        <f>SUMIF('2-Complete Budget'!$B$117:$B$324,"4",'2-Complete Budget'!$E$117:$E$324)</f>
        <v>0</v>
      </c>
      <c r="D30" s="9">
        <f>SUMIF('2-Complete Budget'!$B$117:$B$324,"4",'2-Complete Budget'!$F$117:$F$324)</f>
        <v>0</v>
      </c>
      <c r="E30" s="9">
        <f>SUMIF('2-Complete Budget'!$B$117:$B$324,"4",'2-Complete Budget'!$G$117:$G$324)</f>
        <v>0</v>
      </c>
      <c r="F30" s="9">
        <f>SUMIF('2-Complete Budget'!$B$117:$B$324,"4",'2-Complete Budget'!$H$117:$H$324)</f>
        <v>0</v>
      </c>
      <c r="G30" s="9">
        <f t="shared" si="2"/>
        <v>0</v>
      </c>
    </row>
    <row r="31" spans="1:7" x14ac:dyDescent="0.25">
      <c r="A31" s="3"/>
      <c r="B31" s="15" t="s">
        <v>203</v>
      </c>
      <c r="C31" s="9">
        <f>SUMIF('2-Complete Budget'!$B$117:$B$324,"5",'2-Complete Budget'!$E$117:$E$324)</f>
        <v>0</v>
      </c>
      <c r="D31" s="9">
        <f>SUMIF('2-Complete Budget'!$B$117:$B$324,"5",'2-Complete Budget'!$F$117:$F$324)</f>
        <v>0</v>
      </c>
      <c r="E31" s="9">
        <f>SUMIF('2-Complete Budget'!$B$117:$B$324,"5",'2-Complete Budget'!$G$117:$G$324)</f>
        <v>0</v>
      </c>
      <c r="F31" s="9">
        <f>SUMIF('2-Complete Budget'!$B$117:$B$324,"5",'2-Complete Budget'!$H$117:$H$324)</f>
        <v>0</v>
      </c>
      <c r="G31" s="9">
        <f t="shared" si="2"/>
        <v>0</v>
      </c>
    </row>
    <row r="32" spans="1:7" x14ac:dyDescent="0.25">
      <c r="A32" s="3"/>
      <c r="B32" s="15" t="s">
        <v>204</v>
      </c>
      <c r="C32" s="9">
        <f>SUMIF('2-Complete Budget'!$B$117:$B$324,"6",'2-Complete Budget'!$E$117:$E$324)</f>
        <v>0</v>
      </c>
      <c r="D32" s="9">
        <f>SUMIF('2-Complete Budget'!$B$117:$B$324,"6",'2-Complete Budget'!$F$117:$F$324)</f>
        <v>0</v>
      </c>
      <c r="E32" s="9">
        <f>SUMIF('2-Complete Budget'!$B$117:$B$324,"6",'2-Complete Budget'!$G$117:$G$324)</f>
        <v>0</v>
      </c>
      <c r="F32" s="9">
        <f>SUMIF('2-Complete Budget'!$B$117:$B$324,"6",'2-Complete Budget'!$H$117:$H$324)</f>
        <v>0</v>
      </c>
      <c r="G32" s="9">
        <f t="shared" si="2"/>
        <v>0</v>
      </c>
    </row>
    <row r="33" spans="1:7" x14ac:dyDescent="0.25">
      <c r="A33" s="3"/>
      <c r="B33" s="15" t="s">
        <v>205</v>
      </c>
      <c r="C33" s="9">
        <f>SUMIF('2-Complete Budget'!$B$117:$B$324,"7",'2-Complete Budget'!$E$117:$E$324)</f>
        <v>0</v>
      </c>
      <c r="D33" s="9">
        <f>SUMIF('2-Complete Budget'!$B$117:$B$324,"7",'2-Complete Budget'!$F$117:$F$324)</f>
        <v>0</v>
      </c>
      <c r="E33" s="9">
        <f>SUMIF('2-Complete Budget'!$B$117:$B$324,"7",'2-Complete Budget'!$G$117:$G$324)</f>
        <v>0</v>
      </c>
      <c r="F33" s="9">
        <f>SUMIF('2-Complete Budget'!$B$117:$B$324,"7",'2-Complete Budget'!$H$117:$H$324)</f>
        <v>0</v>
      </c>
      <c r="G33" s="9">
        <f t="shared" si="2"/>
        <v>0</v>
      </c>
    </row>
    <row r="34" spans="1:7" ht="15.5" x14ac:dyDescent="0.35">
      <c r="A34" s="11" t="s">
        <v>208</v>
      </c>
      <c r="B34" s="12"/>
      <c r="C34" s="13">
        <f>SUM(C27:C33)</f>
        <v>104400</v>
      </c>
      <c r="D34" s="13">
        <f>SUM(D27:D33)</f>
        <v>0</v>
      </c>
      <c r="E34" s="13">
        <f>SUM(E27:E33)</f>
        <v>0</v>
      </c>
      <c r="F34" s="13">
        <f>SUM(F27:F33)</f>
        <v>0</v>
      </c>
      <c r="G34" s="13">
        <f>SUM(C34:F34)</f>
        <v>104400</v>
      </c>
    </row>
    <row r="35" spans="1:7" x14ac:dyDescent="0.25">
      <c r="A35" s="3"/>
      <c r="B35" s="3"/>
      <c r="C35" s="3"/>
      <c r="D35" s="3"/>
      <c r="E35" s="3"/>
      <c r="F35" s="3"/>
      <c r="G35" s="3"/>
    </row>
    <row r="36" spans="1:7" ht="18.5" x14ac:dyDescent="0.45">
      <c r="A36" s="14" t="s">
        <v>219</v>
      </c>
      <c r="B36" s="14"/>
      <c r="C36" s="14"/>
      <c r="D36" s="14"/>
      <c r="E36" s="14"/>
      <c r="F36" s="14"/>
      <c r="G36" s="14"/>
    </row>
    <row r="37" spans="1:7" x14ac:dyDescent="0.25">
      <c r="A37" s="3"/>
      <c r="B37" s="15" t="s">
        <v>199</v>
      </c>
      <c r="C37" s="9">
        <f>SUMIF('2-Complete Budget'!$B$327:$B$581,"1",'2-Complete Budget'!$E$327:$E$581)</f>
        <v>421000</v>
      </c>
      <c r="D37" s="9">
        <f>SUMIF('2-Complete Budget'!$B$327:$B$581,"1",'2-Complete Budget'!$F$327:$F$581)</f>
        <v>0</v>
      </c>
      <c r="E37" s="9">
        <f>SUMIF('2-Complete Budget'!$B$327:$B$581,"1",'2-Complete Budget'!$G$327:$G$581)</f>
        <v>0</v>
      </c>
      <c r="F37" s="9">
        <f>SUMIF('2-Complete Budget'!$B$327:$B$581,"1",'2-Complete Budget'!$H$327:$H$581)</f>
        <v>0</v>
      </c>
      <c r="G37" s="9">
        <f t="shared" ref="G37:G43" si="3">SUM(C37:F37)</f>
        <v>421000</v>
      </c>
    </row>
    <row r="38" spans="1:7" x14ac:dyDescent="0.25">
      <c r="A38" s="3"/>
      <c r="B38" s="15" t="s">
        <v>200</v>
      </c>
      <c r="C38" s="9">
        <f>SUMIF('2-Complete Budget'!$B$327:$B$581,"2",'2-Complete Budget'!$E$327:$E$581)</f>
        <v>61180</v>
      </c>
      <c r="D38" s="9">
        <f>SUMIF('2-Complete Budget'!$B$327:$B$581,"2",'2-Complete Budget'!$F$327:$F$581)</f>
        <v>0</v>
      </c>
      <c r="E38" s="9">
        <f>SUMIF('2-Complete Budget'!$B$327:$B$581,"2",'2-Complete Budget'!$G$327:$G$581)</f>
        <v>0</v>
      </c>
      <c r="F38" s="9">
        <f>SUMIF('2-Complete Budget'!$B$327:$B$581,"2",'2-Complete Budget'!$H$327:$H$581)</f>
        <v>0</v>
      </c>
      <c r="G38" s="9">
        <f t="shared" si="3"/>
        <v>61180</v>
      </c>
    </row>
    <row r="39" spans="1:7" x14ac:dyDescent="0.25">
      <c r="A39" s="3"/>
      <c r="B39" s="15" t="s">
        <v>201</v>
      </c>
      <c r="C39" s="9">
        <f>SUMIF('2-Complete Budget'!$B$327:$B$581,"3",'2-Complete Budget'!$E$327:$E$581)</f>
        <v>168000</v>
      </c>
      <c r="D39" s="9">
        <f>SUMIF('2-Complete Budget'!$B$327:$B$581,"3",'2-Complete Budget'!$F$327:$F$581)</f>
        <v>23000</v>
      </c>
      <c r="E39" s="9">
        <f>SUMIF('2-Complete Budget'!$B$327:$B$581,"3",'2-Complete Budget'!$G$327:$G$581)</f>
        <v>0</v>
      </c>
      <c r="F39" s="9">
        <f>SUMIF('2-Complete Budget'!$B$327:$B$581,"3",'2-Complete Budget'!$H$327:$H$581)</f>
        <v>0</v>
      </c>
      <c r="G39" s="9">
        <f t="shared" si="3"/>
        <v>191000</v>
      </c>
    </row>
    <row r="40" spans="1:7" x14ac:dyDescent="0.25">
      <c r="A40" s="3"/>
      <c r="B40" s="15" t="s">
        <v>202</v>
      </c>
      <c r="C40" s="9">
        <f>SUMIF('2-Complete Budget'!$B$327:$B$581,"4",'2-Complete Budget'!$E$327:$E$581)</f>
        <v>0</v>
      </c>
      <c r="D40" s="9">
        <f>SUMIF('2-Complete Budget'!$B$327:$B$581,"4",'2-Complete Budget'!$F$327:$F$581)</f>
        <v>0</v>
      </c>
      <c r="E40" s="9">
        <f>SUMIF('2-Complete Budget'!$B$327:$B$581,"4",'2-Complete Budget'!$G$327:$G$581)</f>
        <v>0</v>
      </c>
      <c r="F40" s="9">
        <f>SUMIF('2-Complete Budget'!$B$327:$B$581,"4",'2-Complete Budget'!$H$327:$H$581)</f>
        <v>0</v>
      </c>
      <c r="G40" s="9">
        <f t="shared" si="3"/>
        <v>0</v>
      </c>
    </row>
    <row r="41" spans="1:7" x14ac:dyDescent="0.25">
      <c r="A41" s="3"/>
      <c r="B41" s="15" t="s">
        <v>203</v>
      </c>
      <c r="C41" s="9">
        <f>SUMIF('2-Complete Budget'!$B$327:$B$581,"5",'2-Complete Budget'!$E$327:$E$581)</f>
        <v>12300</v>
      </c>
      <c r="D41" s="9">
        <f>SUMIF('2-Complete Budget'!$B$327:$B$581,"5",'2-Complete Budget'!$F$327:$F$581)</f>
        <v>170000</v>
      </c>
      <c r="E41" s="9">
        <f>SUMIF('2-Complete Budget'!$B$327:$B$581,"5",'2-Complete Budget'!$G$327:$G$581)</f>
        <v>0</v>
      </c>
      <c r="F41" s="9">
        <f>SUMIF('2-Complete Budget'!$B$327:$B$581,"5",'2-Complete Budget'!$H$327:$H$581)</f>
        <v>0</v>
      </c>
      <c r="G41" s="9">
        <f t="shared" si="3"/>
        <v>182300</v>
      </c>
    </row>
    <row r="42" spans="1:7" x14ac:dyDescent="0.25">
      <c r="A42" s="3"/>
      <c r="B42" s="15" t="s">
        <v>204</v>
      </c>
      <c r="C42" s="9">
        <f>SUMIF('2-Complete Budget'!$B$327:$B$581,"6",'2-Complete Budget'!$E$327:$E$581)</f>
        <v>50000</v>
      </c>
      <c r="D42" s="9">
        <f>SUMIF('2-Complete Budget'!$B$327:$B$581,"6",'2-Complete Budget'!$F$327:$F$581)</f>
        <v>0</v>
      </c>
      <c r="E42" s="9">
        <f>SUMIF('2-Complete Budget'!$B$327:$B$581,"6",'2-Complete Budget'!$G$327:$G$581)</f>
        <v>0</v>
      </c>
      <c r="F42" s="9">
        <f>SUMIF('2-Complete Budget'!$B$327:$B$581,"6",'2-Complete Budget'!$H$327:$H$581)</f>
        <v>0</v>
      </c>
      <c r="G42" s="9">
        <f t="shared" si="3"/>
        <v>50000</v>
      </c>
    </row>
    <row r="43" spans="1:7" x14ac:dyDescent="0.25">
      <c r="A43" s="3"/>
      <c r="B43" s="15" t="s">
        <v>205</v>
      </c>
      <c r="C43" s="9">
        <f>SUMIF('2-Complete Budget'!$B$327:$B$581,"7",'2-Complete Budget'!$E$327:$E$581)</f>
        <v>366000</v>
      </c>
      <c r="D43" s="9">
        <f>SUMIF('2-Complete Budget'!$B$327:$B$581,"7",'2-Complete Budget'!$F$327:$F$581)</f>
        <v>0</v>
      </c>
      <c r="E43" s="9">
        <f>SUMIF('2-Complete Budget'!$B$327:$B$581,"7",'2-Complete Budget'!$G$327:$G$581)</f>
        <v>0</v>
      </c>
      <c r="F43" s="9">
        <f>SUMIF('2-Complete Budget'!$B$327:$B$581,"7",'2-Complete Budget'!$H$327:$H$581)</f>
        <v>0</v>
      </c>
      <c r="G43" s="9">
        <f t="shared" si="3"/>
        <v>366000</v>
      </c>
    </row>
    <row r="44" spans="1:7" ht="15.5" x14ac:dyDescent="0.35">
      <c r="A44" s="11" t="s">
        <v>209</v>
      </c>
      <c r="B44" s="12"/>
      <c r="C44" s="13">
        <f>SUM(C37:C43)</f>
        <v>1078480</v>
      </c>
      <c r="D44" s="13">
        <f>SUM(D37:D43)</f>
        <v>193000</v>
      </c>
      <c r="E44" s="13">
        <f>SUM(E37:E43)</f>
        <v>0</v>
      </c>
      <c r="F44" s="13">
        <f>SUM(F37:F43)</f>
        <v>0</v>
      </c>
      <c r="G44" s="13">
        <f>SUM(C44:F44)</f>
        <v>1271480</v>
      </c>
    </row>
    <row r="45" spans="1:7" x14ac:dyDescent="0.25">
      <c r="A45" s="3"/>
      <c r="B45" s="3"/>
      <c r="C45" s="3"/>
      <c r="D45" s="3"/>
      <c r="E45" s="3"/>
      <c r="F45" s="3"/>
      <c r="G45" s="3"/>
    </row>
    <row r="46" spans="1:7" ht="18.5" x14ac:dyDescent="0.45">
      <c r="A46" s="14" t="s">
        <v>210</v>
      </c>
      <c r="B46" s="14"/>
      <c r="C46" s="14"/>
      <c r="D46" s="14"/>
      <c r="E46" s="14"/>
      <c r="F46" s="14"/>
      <c r="G46" s="14"/>
    </row>
    <row r="47" spans="1:7" x14ac:dyDescent="0.25">
      <c r="A47" s="3"/>
      <c r="B47" s="15" t="s">
        <v>199</v>
      </c>
      <c r="C47" s="9">
        <f>SUMIF('2-Complete Budget'!$B$584:$B$623,"1",'2-Complete Budget'!$E$584:$E$623)</f>
        <v>0</v>
      </c>
      <c r="D47" s="9">
        <f>SUMIF('2-Complete Budget'!$B$584:$B$623,"1",'2-Complete Budget'!$F$584:$F$623)</f>
        <v>0</v>
      </c>
      <c r="E47" s="9">
        <f>SUMIF('2-Complete Budget'!$B$584:$B$623,"1",'2-Complete Budget'!$G$584:$G$623)</f>
        <v>0</v>
      </c>
      <c r="F47" s="9">
        <f>SUMIF('2-Complete Budget'!$B$584:$B$623,"1",'2-Complete Budget'!$H$584:$H$623)</f>
        <v>0</v>
      </c>
      <c r="G47" s="9">
        <f t="shared" ref="G47:G53" si="4">SUM(C47:F47)</f>
        <v>0</v>
      </c>
    </row>
    <row r="48" spans="1:7" x14ac:dyDescent="0.25">
      <c r="A48" s="3"/>
      <c r="B48" s="15" t="s">
        <v>200</v>
      </c>
      <c r="C48" s="9">
        <f>SUMIF('2-Complete Budget'!$B$584:$B$623,"2",'2-Complete Budget'!$E$584:$E$623)</f>
        <v>0</v>
      </c>
      <c r="D48" s="9">
        <f>SUMIF('2-Complete Budget'!$B$584:$B$623,"2",'2-Complete Budget'!$F$584:$F$623)</f>
        <v>0</v>
      </c>
      <c r="E48" s="9">
        <f>SUMIF('2-Complete Budget'!$B$584:$B$623,"2",'2-Complete Budget'!$G$584:$G$623)</f>
        <v>0</v>
      </c>
      <c r="F48" s="9">
        <f>SUMIF('2-Complete Budget'!$B$584:$B$623,"2",'2-Complete Budget'!$H$584:$H$623)</f>
        <v>0</v>
      </c>
      <c r="G48" s="9">
        <f t="shared" si="4"/>
        <v>0</v>
      </c>
    </row>
    <row r="49" spans="1:7" x14ac:dyDescent="0.25">
      <c r="A49" s="3"/>
      <c r="B49" s="15" t="s">
        <v>201</v>
      </c>
      <c r="C49" s="9">
        <f>SUMIF('2-Complete Budget'!$B$584:$B$623,"3",'2-Complete Budget'!$E$584:$E$623)</f>
        <v>275800</v>
      </c>
      <c r="D49" s="9">
        <f>SUMIF('2-Complete Budget'!$B$584:$B$623,"3",'2-Complete Budget'!$F$584:$F$623)</f>
        <v>9000</v>
      </c>
      <c r="E49" s="9">
        <f>SUMIF('2-Complete Budget'!$B$584:$B$623,"3",'2-Complete Budget'!$G$584:$G$623)</f>
        <v>0</v>
      </c>
      <c r="F49" s="9">
        <f>SUMIF('2-Complete Budget'!$B$584:$B$623,"3",'2-Complete Budget'!$H$584:$H$623)</f>
        <v>189000</v>
      </c>
      <c r="G49" s="9">
        <f t="shared" si="4"/>
        <v>473800</v>
      </c>
    </row>
    <row r="50" spans="1:7" x14ac:dyDescent="0.25">
      <c r="A50" s="3"/>
      <c r="B50" s="15" t="s">
        <v>202</v>
      </c>
      <c r="C50" s="9">
        <f>SUMIF('2-Complete Budget'!$B$584:$B$623,"4",'2-Complete Budget'!$E$584:$E$623)</f>
        <v>17500</v>
      </c>
      <c r="D50" s="9">
        <f>SUMIF('2-Complete Budget'!$B$584:$B$623,"4",'2-Complete Budget'!$F$584:$F$623)</f>
        <v>3000</v>
      </c>
      <c r="E50" s="9">
        <f>SUMIF('2-Complete Budget'!$B$584:$B$623,"4",'2-Complete Budget'!$G$584:$G$623)</f>
        <v>0</v>
      </c>
      <c r="F50" s="9">
        <f>SUMIF('2-Complete Budget'!$B$584:$B$623,"4",'2-Complete Budget'!$H$584:$H$623)</f>
        <v>0</v>
      </c>
      <c r="G50" s="9">
        <f t="shared" si="4"/>
        <v>20500</v>
      </c>
    </row>
    <row r="51" spans="1:7" x14ac:dyDescent="0.25">
      <c r="A51" s="3"/>
      <c r="B51" s="15" t="s">
        <v>203</v>
      </c>
      <c r="C51" s="9">
        <f>SUMIF('2-Complete Budget'!$B$584:$B$623,"5",'2-Complete Budget'!$E$584:$E$623)</f>
        <v>0</v>
      </c>
      <c r="D51" s="9">
        <f>SUMIF('2-Complete Budget'!$B$584:$B$623,"5",'2-Complete Budget'!$F$584:$F$623)</f>
        <v>0</v>
      </c>
      <c r="E51" s="9">
        <f>SUMIF('2-Complete Budget'!$B$584:$B$623,"5",'2-Complete Budget'!$G$584:$G$623)</f>
        <v>0</v>
      </c>
      <c r="F51" s="9">
        <f>SUMIF('2-Complete Budget'!$B$584:$B$623,"5",'2-Complete Budget'!$H$584:$H$623)</f>
        <v>0</v>
      </c>
      <c r="G51" s="9">
        <f t="shared" si="4"/>
        <v>0</v>
      </c>
    </row>
    <row r="52" spans="1:7" x14ac:dyDescent="0.25">
      <c r="A52" s="3"/>
      <c r="B52" s="15" t="s">
        <v>204</v>
      </c>
      <c r="C52" s="9">
        <f>SUMIF('2-Complete Budget'!$B$584:$B$623,"6",'2-Complete Budget'!$E$584:$E$623)</f>
        <v>0</v>
      </c>
      <c r="D52" s="9">
        <f>SUMIF('2-Complete Budget'!$B$584:$B$623,"6",'2-Complete Budget'!$F$584:$F$623)</f>
        <v>0</v>
      </c>
      <c r="E52" s="9">
        <f>SUMIF('2-Complete Budget'!$B$584:$B$623,"6",'2-Complete Budget'!$G$584:$G$623)</f>
        <v>0</v>
      </c>
      <c r="F52" s="9">
        <f>SUMIF('2-Complete Budget'!$B$584:$B$623,"6",'2-Complete Budget'!$H$584:$H$623)</f>
        <v>0</v>
      </c>
      <c r="G52" s="9">
        <f t="shared" si="4"/>
        <v>0</v>
      </c>
    </row>
    <row r="53" spans="1:7" x14ac:dyDescent="0.25">
      <c r="A53" s="3"/>
      <c r="B53" s="15" t="s">
        <v>205</v>
      </c>
      <c r="C53" s="9">
        <f>SUMIF('2-Complete Budget'!$B$584:$B$623,"7",'2-Complete Budget'!$E$584:$E$623)</f>
        <v>0</v>
      </c>
      <c r="D53" s="9">
        <f>SUMIF('2-Complete Budget'!$B$584:$B$623,"7",'2-Complete Budget'!$F$584:$F$623)</f>
        <v>0</v>
      </c>
      <c r="E53" s="9">
        <f>SUMIF('2-Complete Budget'!$B$584:$B$623,"7",'2-Complete Budget'!$G$584:$G$623)</f>
        <v>0</v>
      </c>
      <c r="F53" s="9">
        <f>SUMIF('2-Complete Budget'!$B$584:$B$623,"7",'2-Complete Budget'!$H$584:$H$623)</f>
        <v>0</v>
      </c>
      <c r="G53" s="9">
        <f t="shared" si="4"/>
        <v>0</v>
      </c>
    </row>
    <row r="54" spans="1:7" ht="15.5" x14ac:dyDescent="0.35">
      <c r="A54" s="11" t="s">
        <v>211</v>
      </c>
      <c r="B54" s="12"/>
      <c r="C54" s="13">
        <f>SUM(C47:C53)</f>
        <v>293300</v>
      </c>
      <c r="D54" s="13">
        <f>SUM(D47:D53)</f>
        <v>12000</v>
      </c>
      <c r="E54" s="13">
        <f>SUM(E47:E53)</f>
        <v>0</v>
      </c>
      <c r="F54" s="13">
        <f>SUM(F47:F53)</f>
        <v>189000</v>
      </c>
      <c r="G54" s="13">
        <f>SUM(C54:F54)</f>
        <v>494300</v>
      </c>
    </row>
    <row r="55" spans="1:7" x14ac:dyDescent="0.25">
      <c r="A55" s="3"/>
      <c r="B55" s="3"/>
      <c r="C55" s="3"/>
      <c r="D55" s="3"/>
      <c r="E55" s="3"/>
      <c r="F55" s="3"/>
      <c r="G55" s="3"/>
    </row>
    <row r="56" spans="1:7" ht="18.5" x14ac:dyDescent="0.45">
      <c r="A56" s="14" t="s">
        <v>214</v>
      </c>
      <c r="B56" s="14"/>
      <c r="C56" s="14"/>
      <c r="D56" s="14"/>
      <c r="E56" s="14"/>
      <c r="F56" s="14"/>
      <c r="G56" s="14"/>
    </row>
    <row r="57" spans="1:7" x14ac:dyDescent="0.25">
      <c r="A57" s="3"/>
      <c r="B57" s="15" t="s">
        <v>199</v>
      </c>
      <c r="C57" s="9">
        <f>SUMIF('2-Complete Budget'!$B$626:$B$707,"1",'2-Complete Budget'!$E$626:$E$707)</f>
        <v>0</v>
      </c>
      <c r="D57" s="9">
        <f>SUMIF('2-Complete Budget'!$B$626:$B$707,"1",'2-Complete Budget'!$F$626:$F$707)</f>
        <v>0</v>
      </c>
      <c r="E57" s="9">
        <f>SUMIF('2-Complete Budget'!$B$626:$B$707,"1",'2-Complete Budget'!$G$626:$G$707)</f>
        <v>0</v>
      </c>
      <c r="F57" s="9">
        <f>SUMIF('2-Complete Budget'!$B$626:$B$707,"1",'2-Complete Budget'!$H$626:$H$707)</f>
        <v>0</v>
      </c>
      <c r="G57" s="9">
        <f t="shared" ref="G57:G63" si="5">SUM(C57:F57)</f>
        <v>0</v>
      </c>
    </row>
    <row r="58" spans="1:7" x14ac:dyDescent="0.25">
      <c r="A58" s="3"/>
      <c r="B58" s="15" t="s">
        <v>200</v>
      </c>
      <c r="C58" s="9">
        <f>SUMIF('2-Complete Budget'!$B$626:$B$707,"2",'2-Complete Budget'!$E$626:$E$707)</f>
        <v>0</v>
      </c>
      <c r="D58" s="9">
        <f>SUMIF('2-Complete Budget'!$B$626:$B$707,"2",'2-Complete Budget'!$F$626:$F$707)</f>
        <v>0</v>
      </c>
      <c r="E58" s="9">
        <f>SUMIF('2-Complete Budget'!$B$626:$B$707,"2",'2-Complete Budget'!$G$626:$G$707)</f>
        <v>0</v>
      </c>
      <c r="F58" s="9">
        <f>SUMIF('2-Complete Budget'!$B$626:$B$707,"2",'2-Complete Budget'!$H$626:$H$707)</f>
        <v>0</v>
      </c>
      <c r="G58" s="9">
        <f t="shared" si="5"/>
        <v>0</v>
      </c>
    </row>
    <row r="59" spans="1:7" x14ac:dyDescent="0.25">
      <c r="A59" s="3"/>
      <c r="B59" s="15" t="s">
        <v>201</v>
      </c>
      <c r="C59" s="9">
        <f>SUMIF('2-Complete Budget'!$B$626:$B$707,"3",'2-Complete Budget'!$E$626:$E$707)</f>
        <v>18000</v>
      </c>
      <c r="D59" s="9">
        <f>SUMIF('2-Complete Budget'!$B$626:$B$707,"3",'2-Complete Budget'!$F$626:$F$707)</f>
        <v>0</v>
      </c>
      <c r="E59" s="9">
        <f>SUMIF('2-Complete Budget'!$B$626:$B$707,"3",'2-Complete Budget'!$G$626:$G$707)</f>
        <v>0</v>
      </c>
      <c r="F59" s="9">
        <f>SUMIF('2-Complete Budget'!$B$626:$B$707,"3",'2-Complete Budget'!$H$626:$H$707)</f>
        <v>0</v>
      </c>
      <c r="G59" s="9">
        <f t="shared" si="5"/>
        <v>18000</v>
      </c>
    </row>
    <row r="60" spans="1:7" x14ac:dyDescent="0.25">
      <c r="A60" s="3"/>
      <c r="B60" s="15" t="s">
        <v>202</v>
      </c>
      <c r="C60" s="9">
        <f>SUMIF('2-Complete Budget'!$B$626:$B$707,"4",'2-Complete Budget'!$E$626:$E$707)</f>
        <v>0</v>
      </c>
      <c r="D60" s="9">
        <f>SUMIF('2-Complete Budget'!$B$626:$B$707,"4",'2-Complete Budget'!$F$626:$F$707)</f>
        <v>0</v>
      </c>
      <c r="E60" s="9">
        <f>SUMIF('2-Complete Budget'!$B$626:$B$707,"4",'2-Complete Budget'!$G$626:$G$707)</f>
        <v>0</v>
      </c>
      <c r="F60" s="9">
        <f>SUMIF('2-Complete Budget'!$B$626:$B$707,"4",'2-Complete Budget'!$H$626:$H$707)</f>
        <v>0</v>
      </c>
      <c r="G60" s="9">
        <f t="shared" si="5"/>
        <v>0</v>
      </c>
    </row>
    <row r="61" spans="1:7" x14ac:dyDescent="0.25">
      <c r="A61" s="3"/>
      <c r="B61" s="15" t="s">
        <v>203</v>
      </c>
      <c r="C61" s="9">
        <f>SUMIF('2-Complete Budget'!$B$626:$B$707,"5",'2-Complete Budget'!$E$626:$E$707)</f>
        <v>0</v>
      </c>
      <c r="D61" s="9">
        <f>SUMIF('2-Complete Budget'!$B$626:$B$707,"5",'2-Complete Budget'!$F$626:$F$707)</f>
        <v>0</v>
      </c>
      <c r="E61" s="9">
        <f>SUMIF('2-Complete Budget'!$B$626:$B$707,"5",'2-Complete Budget'!$G$626:$G$707)</f>
        <v>0</v>
      </c>
      <c r="F61" s="9">
        <f>SUMIF('2-Complete Budget'!$B$626:$B$707,"5",'2-Complete Budget'!$H$626:$H$707)</f>
        <v>0</v>
      </c>
      <c r="G61" s="9">
        <f t="shared" si="5"/>
        <v>0</v>
      </c>
    </row>
    <row r="62" spans="1:7" x14ac:dyDescent="0.25">
      <c r="A62" s="3"/>
      <c r="B62" s="15" t="s">
        <v>204</v>
      </c>
      <c r="C62" s="9">
        <f>SUMIF('2-Complete Budget'!$B$626:$B$707,"6",'2-Complete Budget'!$E$626:$E$707)</f>
        <v>0</v>
      </c>
      <c r="D62" s="9">
        <f>SUMIF('2-Complete Budget'!$B$626:$B$707,"6",'2-Complete Budget'!$F$626:$F$707)</f>
        <v>0</v>
      </c>
      <c r="E62" s="9">
        <f>SUMIF('2-Complete Budget'!$B$626:$B$707,"6",'2-Complete Budget'!$G$626:$G$707)</f>
        <v>0</v>
      </c>
      <c r="F62" s="9">
        <f>SUMIF('2-Complete Budget'!$B$626:$B$707,"6",'2-Complete Budget'!$H$626:$H$707)</f>
        <v>0</v>
      </c>
      <c r="G62" s="9">
        <f t="shared" si="5"/>
        <v>0</v>
      </c>
    </row>
    <row r="63" spans="1:7" x14ac:dyDescent="0.25">
      <c r="A63" s="3"/>
      <c r="B63" s="15" t="s">
        <v>205</v>
      </c>
      <c r="C63" s="9">
        <f>SUMIF('2-Complete Budget'!$B$626:$B$707,"7",'2-Complete Budget'!$E$626:$E$707)</f>
        <v>0</v>
      </c>
      <c r="D63" s="9">
        <f>SUMIF('2-Complete Budget'!$B$626:$B$707,"7",'2-Complete Budget'!$F$626:$F$707)</f>
        <v>0</v>
      </c>
      <c r="E63" s="9">
        <f>SUMIF('2-Complete Budget'!$B$626:$B$707,"7",'2-Complete Budget'!$G$626:$G$707)</f>
        <v>0</v>
      </c>
      <c r="F63" s="9">
        <f>SUMIF('2-Complete Budget'!$B$626:$B$707,"7",'2-Complete Budget'!$H$626:$H$707)</f>
        <v>0</v>
      </c>
      <c r="G63" s="9">
        <f t="shared" si="5"/>
        <v>0</v>
      </c>
    </row>
    <row r="64" spans="1:7" ht="15.5" x14ac:dyDescent="0.35">
      <c r="A64" s="11" t="s">
        <v>215</v>
      </c>
      <c r="B64" s="12"/>
      <c r="C64" s="13">
        <f>SUM(C57:C63)</f>
        <v>18000</v>
      </c>
      <c r="D64" s="13">
        <f>SUM(D57:D63)</f>
        <v>0</v>
      </c>
      <c r="E64" s="13">
        <f>SUM(E57:E63)</f>
        <v>0</v>
      </c>
      <c r="F64" s="13">
        <f>SUM(F57:F63)</f>
        <v>0</v>
      </c>
      <c r="G64" s="13">
        <f>SUM(C64:F64)</f>
        <v>18000</v>
      </c>
    </row>
    <row r="65" spans="1:7" ht="12" customHeight="1" x14ac:dyDescent="0.35">
      <c r="A65" s="16"/>
      <c r="B65" s="16"/>
      <c r="C65" s="17"/>
      <c r="D65" s="17"/>
      <c r="E65" s="17"/>
      <c r="F65" s="17"/>
      <c r="G65" s="17"/>
    </row>
    <row r="66" spans="1:7" ht="18.5" x14ac:dyDescent="0.45">
      <c r="A66" s="14" t="s">
        <v>212</v>
      </c>
      <c r="B66" s="14"/>
      <c r="C66" s="14"/>
      <c r="D66" s="14"/>
      <c r="E66" s="14"/>
      <c r="F66" s="14"/>
      <c r="G66" s="14"/>
    </row>
    <row r="67" spans="1:7" x14ac:dyDescent="0.25">
      <c r="A67" s="3"/>
      <c r="B67" s="15" t="s">
        <v>199</v>
      </c>
      <c r="C67" s="9">
        <f>SUMIF('2-Complete Budget'!$B$710:$B$753,"1",'2-Complete Budget'!$E$710:$E$753)</f>
        <v>0</v>
      </c>
      <c r="D67" s="9">
        <f>SUMIF('2-Complete Budget'!$B$710:$B$753,"1",'2-Complete Budget'!$F$710:$F$753)</f>
        <v>0</v>
      </c>
      <c r="E67" s="9">
        <f>SUMIF('2-Complete Budget'!$B$710:$B$753,"1",'2-Complete Budget'!$G$710:$G$753)</f>
        <v>0</v>
      </c>
      <c r="F67" s="9">
        <f>SUMIF('2-Complete Budget'!$B$710:$B$753,"1",'2-Complete Budget'!$H$710:$H$753)</f>
        <v>0</v>
      </c>
      <c r="G67" s="9">
        <f t="shared" ref="G67:G73" si="6">SUM(C67:F67)</f>
        <v>0</v>
      </c>
    </row>
    <row r="68" spans="1:7" x14ac:dyDescent="0.25">
      <c r="A68" s="3"/>
      <c r="B68" s="15" t="s">
        <v>200</v>
      </c>
      <c r="C68" s="9">
        <f>SUMIF('2-Complete Budget'!$B$710:$B$753,"2",'2-Complete Budget'!$E$710:$E$753)</f>
        <v>0</v>
      </c>
      <c r="D68" s="9">
        <f>SUMIF('2-Complete Budget'!$B$710:$B$753,"2",'2-Complete Budget'!$F$710:$F$753)</f>
        <v>0</v>
      </c>
      <c r="E68" s="9">
        <f>SUMIF('2-Complete Budget'!$B$710:$B$753,"2",'2-Complete Budget'!$G$710:$G$753)</f>
        <v>0</v>
      </c>
      <c r="F68" s="9">
        <f>SUMIF('2-Complete Budget'!$B$710:$B$753,"2",'2-Complete Budget'!$H$710:$H$753)</f>
        <v>0</v>
      </c>
      <c r="G68" s="9">
        <f t="shared" si="6"/>
        <v>0</v>
      </c>
    </row>
    <row r="69" spans="1:7" x14ac:dyDescent="0.25">
      <c r="A69" s="3"/>
      <c r="B69" s="15" t="s">
        <v>201</v>
      </c>
      <c r="C69" s="9">
        <f>SUMIF('2-Complete Budget'!$B$710:$B$753,"3",'2-Complete Budget'!$E$710:$E$753)</f>
        <v>0</v>
      </c>
      <c r="D69" s="9">
        <f>SUMIF('2-Complete Budget'!$B$710:$B$753,"3",'2-Complete Budget'!$F$710:$F$753)</f>
        <v>0</v>
      </c>
      <c r="E69" s="9">
        <f>SUMIF('2-Complete Budget'!$B$710:$B$753,"3",'2-Complete Budget'!$G$710:$G$753)</f>
        <v>0</v>
      </c>
      <c r="F69" s="9">
        <f>SUMIF('2-Complete Budget'!$B$710:$B$753,"3",'2-Complete Budget'!$H$710:$H$753)</f>
        <v>0</v>
      </c>
      <c r="G69" s="9">
        <f t="shared" si="6"/>
        <v>0</v>
      </c>
    </row>
    <row r="70" spans="1:7" x14ac:dyDescent="0.25">
      <c r="A70" s="3"/>
      <c r="B70" s="15" t="s">
        <v>202</v>
      </c>
      <c r="C70" s="9">
        <f>SUMIF('2-Complete Budget'!$B$710:$B$753,"4",'2-Complete Budget'!$E$710:$E$753)</f>
        <v>0</v>
      </c>
      <c r="D70" s="9">
        <f>SUMIF('2-Complete Budget'!$B$710:$B$753,"4",'2-Complete Budget'!$F$710:$F$753)</f>
        <v>0</v>
      </c>
      <c r="E70" s="9">
        <f>SUMIF('2-Complete Budget'!$B$710:$B$753,"4",'2-Complete Budget'!$G$710:$G$753)</f>
        <v>0</v>
      </c>
      <c r="F70" s="9">
        <f>SUMIF('2-Complete Budget'!$B$710:$B$753,"4",'2-Complete Budget'!$H$710:$H$753)</f>
        <v>0</v>
      </c>
      <c r="G70" s="9">
        <f t="shared" si="6"/>
        <v>0</v>
      </c>
    </row>
    <row r="71" spans="1:7" x14ac:dyDescent="0.25">
      <c r="A71" s="3"/>
      <c r="B71" s="15" t="s">
        <v>203</v>
      </c>
      <c r="C71" s="9">
        <f>SUMIF('2-Complete Budget'!$B$710:$B$753,"5",'2-Complete Budget'!$E$710:$E$753)</f>
        <v>0</v>
      </c>
      <c r="D71" s="9">
        <f>SUMIF('2-Complete Budget'!$B$710:$B$753,"5",'2-Complete Budget'!$F$710:$F$753)</f>
        <v>0</v>
      </c>
      <c r="E71" s="9">
        <f>SUMIF('2-Complete Budget'!$B$710:$B$753,"5",'2-Complete Budget'!$G$710:$G$753)</f>
        <v>0</v>
      </c>
      <c r="F71" s="9">
        <f>SUMIF('2-Complete Budget'!$B$710:$B$753,"5",'2-Complete Budget'!$H$710:$H$753)</f>
        <v>0</v>
      </c>
      <c r="G71" s="9">
        <f t="shared" si="6"/>
        <v>0</v>
      </c>
    </row>
    <row r="72" spans="1:7" x14ac:dyDescent="0.25">
      <c r="A72" s="3"/>
      <c r="B72" s="15" t="s">
        <v>204</v>
      </c>
      <c r="C72" s="9">
        <f>SUMIF('2-Complete Budget'!$B$710:$B$753,"6",'2-Complete Budget'!$E$710:$E$753)</f>
        <v>0</v>
      </c>
      <c r="D72" s="9">
        <f>SUMIF('2-Complete Budget'!$B$710:$B$753,"6",'2-Complete Budget'!$F$710:$F$753)</f>
        <v>0</v>
      </c>
      <c r="E72" s="9">
        <f>SUMIF('2-Complete Budget'!$B$710:$B$753,"6",'2-Complete Budget'!$G$710:$G$753)</f>
        <v>0</v>
      </c>
      <c r="F72" s="9">
        <f>SUMIF('2-Complete Budget'!$B$710:$B$753,"6",'2-Complete Budget'!$H$710:$H$753)</f>
        <v>0</v>
      </c>
      <c r="G72" s="9">
        <f t="shared" si="6"/>
        <v>0</v>
      </c>
    </row>
    <row r="73" spans="1:7" x14ac:dyDescent="0.25">
      <c r="A73" s="3"/>
      <c r="B73" s="15" t="s">
        <v>205</v>
      </c>
      <c r="C73" s="9">
        <f>SUMIF('2-Complete Budget'!$B$710:$B$753,"7",'2-Complete Budget'!$E$710:$E$753)</f>
        <v>0</v>
      </c>
      <c r="D73" s="9">
        <f>SUMIF('2-Complete Budget'!$B$710:$B$753,"7",'2-Complete Budget'!$F$710:$F$753)</f>
        <v>0</v>
      </c>
      <c r="E73" s="9">
        <f>SUMIF('2-Complete Budget'!$B$710:$B$753,"7",'2-Complete Budget'!$G$710:$G$753)</f>
        <v>0</v>
      </c>
      <c r="F73" s="9">
        <f>SUMIF('2-Complete Budget'!$B$710:$B$753,"7",'2-Complete Budget'!$H$710:$H$753)</f>
        <v>0</v>
      </c>
      <c r="G73" s="9">
        <f t="shared" si="6"/>
        <v>0</v>
      </c>
    </row>
    <row r="74" spans="1:7" ht="15.5" x14ac:dyDescent="0.35">
      <c r="A74" s="11" t="s">
        <v>213</v>
      </c>
      <c r="B74" s="12"/>
      <c r="C74" s="13">
        <f>SUM(C67:C73)</f>
        <v>0</v>
      </c>
      <c r="D74" s="13">
        <f>SUM(D67:D73)</f>
        <v>0</v>
      </c>
      <c r="E74" s="13">
        <f>SUM(E67:E73)</f>
        <v>0</v>
      </c>
      <c r="F74" s="13">
        <f>SUM(F67:F73)</f>
        <v>0</v>
      </c>
      <c r="G74" s="13">
        <f>SUM(C74:F74)</f>
        <v>0</v>
      </c>
    </row>
    <row r="75" spans="1:7" x14ac:dyDescent="0.25">
      <c r="A75" s="3"/>
      <c r="B75" s="3"/>
      <c r="C75" s="3"/>
      <c r="D75" s="3"/>
      <c r="E75" s="3"/>
      <c r="F75" s="3"/>
      <c r="G75" s="3"/>
    </row>
    <row r="76" spans="1:7" ht="14.5" x14ac:dyDescent="0.35">
      <c r="A76" s="18" t="s">
        <v>86</v>
      </c>
      <c r="B76" s="19"/>
      <c r="C76" s="9">
        <f>SUMIF('2-Complete Budget'!$D$710:$D$787,"Reserve*",'2-Complete Budget'!$E$710:$E$787)</f>
        <v>0</v>
      </c>
      <c r="D76" s="9">
        <f>SUMIF('2-Complete Budget'!$D$710:$D$787,"Reserve*",'2-Complete Budget'!$F$710:$F$787)</f>
        <v>0</v>
      </c>
      <c r="E76" s="9">
        <f>SUMIF('2-Complete Budget'!$D$710:$D$787,"Reserve*",'2-Complete Budget'!$G$710:$G$787)</f>
        <v>0</v>
      </c>
      <c r="F76" s="9">
        <f>SUMIF('2-Complete Budget'!$D$710:$D$787,"Reserve*",'2-Complete Budget'!$H$710:$H$787)</f>
        <v>0</v>
      </c>
      <c r="G76" s="9">
        <f t="shared" ref="G76" si="7">SUM(C76:F76)</f>
        <v>0</v>
      </c>
    </row>
    <row r="77" spans="1:7" x14ac:dyDescent="0.25">
      <c r="A77" s="3"/>
      <c r="B77" s="3"/>
      <c r="C77" s="3"/>
      <c r="D77" s="3"/>
      <c r="E77" s="3"/>
      <c r="F77" s="3"/>
      <c r="G77" s="3"/>
    </row>
    <row r="78" spans="1:7" ht="15.5" x14ac:dyDescent="0.35">
      <c r="A78" s="11" t="s">
        <v>87</v>
      </c>
      <c r="B78" s="12"/>
      <c r="C78" s="13">
        <f>+C76+C74+C64+C54+C44+C34+C24</f>
        <v>2318480</v>
      </c>
      <c r="D78" s="13">
        <f>+D76+D74+D64+D54+D44+D34+D24</f>
        <v>205000</v>
      </c>
      <c r="E78" s="13">
        <f>+E76+E74+E64+E54+E44+E34+E24</f>
        <v>0</v>
      </c>
      <c r="F78" s="13">
        <f>+F76+F74+F64+F54+F44+F34+F24</f>
        <v>189000</v>
      </c>
      <c r="G78" s="13">
        <f t="shared" ref="G78:G80" si="8">SUM(C78:F78)</f>
        <v>2712480</v>
      </c>
    </row>
    <row r="79" spans="1:7" ht="15.5" x14ac:dyDescent="0.35">
      <c r="A79" s="11" t="s">
        <v>82</v>
      </c>
      <c r="B79" s="12"/>
      <c r="C79" s="13">
        <f>+C13</f>
        <v>2318556</v>
      </c>
      <c r="D79" s="13">
        <f>+D13</f>
        <v>205000</v>
      </c>
      <c r="E79" s="13">
        <f>+E13</f>
        <v>0</v>
      </c>
      <c r="F79" s="13">
        <f>+F13</f>
        <v>189000</v>
      </c>
      <c r="G79" s="13">
        <f t="shared" si="8"/>
        <v>2712556</v>
      </c>
    </row>
    <row r="80" spans="1:7" ht="15.5" x14ac:dyDescent="0.35">
      <c r="A80" s="11" t="s">
        <v>173</v>
      </c>
      <c r="B80" s="12"/>
      <c r="C80" s="13">
        <f>+C79-C78</f>
        <v>76</v>
      </c>
      <c r="D80" s="13">
        <f>+D79-D78</f>
        <v>0</v>
      </c>
      <c r="E80" s="13">
        <f>+E79-E78</f>
        <v>0</v>
      </c>
      <c r="F80" s="13">
        <f>+F79-F78</f>
        <v>0</v>
      </c>
      <c r="G80" s="13">
        <f t="shared" si="8"/>
        <v>76</v>
      </c>
    </row>
    <row r="81" spans="1:7" x14ac:dyDescent="0.25">
      <c r="A81" s="3"/>
      <c r="B81" s="3"/>
      <c r="C81" s="3"/>
      <c r="D81" s="3"/>
      <c r="E81" s="3"/>
      <c r="F81" s="3"/>
      <c r="G81" s="3"/>
    </row>
    <row r="82" spans="1:7" ht="18.5" x14ac:dyDescent="0.45">
      <c r="A82" s="100" t="s">
        <v>250</v>
      </c>
      <c r="B82" s="100"/>
      <c r="C82" s="100"/>
      <c r="D82" s="100"/>
      <c r="E82" s="100"/>
      <c r="F82" s="100"/>
      <c r="G82" s="100"/>
    </row>
    <row r="83" spans="1:7" x14ac:dyDescent="0.25">
      <c r="A83" s="99"/>
      <c r="B83" s="53" t="s">
        <v>251</v>
      </c>
      <c r="C83" s="9">
        <f>SUMIF('2-Complete Budget'!$B$33:$B$774,"TI",'2-Complete Budget'!$E$33:$E$774)</f>
        <v>0</v>
      </c>
      <c r="D83" s="9">
        <f>SUMIF('2-Complete Budget'!$B$33:$B$774,"TI",'2-Complete Budget'!$F$33:$F$774)</f>
        <v>0</v>
      </c>
      <c r="E83" s="9">
        <f>SUMIF('2-Complete Budget'!$B$33:$B$774,"TI",'2-Complete Budget'!$G$33:$G$774)</f>
        <v>0</v>
      </c>
      <c r="F83" s="9">
        <f>SUMIF('2-Complete Budget'!$B$33:$B$774,"TI",'2-Complete Budget'!$H$33:$H$774)</f>
        <v>0</v>
      </c>
      <c r="G83" s="9">
        <f t="shared" ref="G83:G85" si="9">SUM(C83:F83)</f>
        <v>0</v>
      </c>
    </row>
    <row r="84" spans="1:7" x14ac:dyDescent="0.25">
      <c r="A84" s="99"/>
      <c r="B84" s="53" t="s">
        <v>256</v>
      </c>
      <c r="C84" s="9">
        <f>SUMIF('2-Complete Budget'!$B$33:$B$774,"TI-LT",'2-Complete Budget'!$E$33:$E$774)</f>
        <v>0</v>
      </c>
      <c r="D84" s="9">
        <f>SUMIF('2-Complete Budget'!$B$33:$B$774,"TI-LT",'2-Complete Budget'!$F$33:$F$774)</f>
        <v>0</v>
      </c>
      <c r="E84" s="9">
        <f>SUMIF('2-Complete Budget'!$B$33:$B$774,"TI-LT",'2-Complete Budget'!$G$33:$G$774)</f>
        <v>0</v>
      </c>
      <c r="F84" s="9">
        <f>SUMIF('2-Complete Budget'!$B$33:$B$774,"TI-LT",'2-Complete Budget'!$H$33:$H$774)</f>
        <v>0</v>
      </c>
      <c r="G84" s="9">
        <f t="shared" si="9"/>
        <v>0</v>
      </c>
    </row>
    <row r="85" spans="1:7" x14ac:dyDescent="0.25">
      <c r="A85" s="99"/>
      <c r="B85" s="53" t="s">
        <v>252</v>
      </c>
      <c r="C85" s="9">
        <f>SUMIF('2-Complete Budget'!$B$33:$B$774,"TO",'2-Complete Budget'!$E$33:$E$774)</f>
        <v>0</v>
      </c>
      <c r="D85" s="9">
        <f>SUMIF('2-Complete Budget'!$B$33:$B$774,"TO",'2-Complete Budget'!$F$33:$F$774)</f>
        <v>0</v>
      </c>
      <c r="E85" s="9">
        <f>SUMIF('2-Complete Budget'!$B$33:$B$774,"TO",'2-Complete Budget'!$G$33:$G$774)</f>
        <v>0</v>
      </c>
      <c r="F85" s="9">
        <f>SUMIF('2-Complete Budget'!$B$33:$B$774,"TO",'2-Complete Budget'!$H$33:$H$774)</f>
        <v>0</v>
      </c>
      <c r="G85" s="9">
        <f t="shared" si="9"/>
        <v>0</v>
      </c>
    </row>
    <row r="86" spans="1:7" ht="15.5" x14ac:dyDescent="0.35">
      <c r="A86" s="11" t="s">
        <v>253</v>
      </c>
      <c r="B86" s="12"/>
      <c r="C86" s="13">
        <f>SUM(C83:C85)</f>
        <v>0</v>
      </c>
      <c r="D86" s="13">
        <f>SUM(D83:D85)</f>
        <v>0</v>
      </c>
      <c r="E86" s="13">
        <f>SUM(E83:E85)</f>
        <v>0</v>
      </c>
      <c r="F86" s="13">
        <f>SUM(F83:F85)</f>
        <v>0</v>
      </c>
      <c r="G86" s="13">
        <f t="shared" ref="G86" si="10">SUM(C86:F86)</f>
        <v>0</v>
      </c>
    </row>
    <row r="87" spans="1:7" x14ac:dyDescent="0.25">
      <c r="A87" s="3"/>
      <c r="B87" s="3"/>
      <c r="C87" s="3"/>
      <c r="D87" s="3"/>
      <c r="E87" s="3"/>
      <c r="F87" s="3"/>
      <c r="G87" s="3"/>
    </row>
    <row r="88" spans="1:7" ht="15.5" x14ac:dyDescent="0.35">
      <c r="A88" s="101" t="s">
        <v>254</v>
      </c>
      <c r="B88" s="101"/>
      <c r="C88" s="13">
        <f>+C80+C86</f>
        <v>76</v>
      </c>
      <c r="D88" s="13">
        <f>+D80+D86</f>
        <v>0</v>
      </c>
      <c r="E88" s="13">
        <f>+E80+E86</f>
        <v>0</v>
      </c>
      <c r="F88" s="13">
        <f>+F80+F86</f>
        <v>0</v>
      </c>
      <c r="G88" s="13">
        <f>SUM(C88:F88)</f>
        <v>76</v>
      </c>
    </row>
    <row r="89" spans="1:7" ht="15.5" x14ac:dyDescent="0.35">
      <c r="A89" s="102"/>
      <c r="B89" s="102"/>
      <c r="C89" s="95"/>
      <c r="D89" s="95"/>
      <c r="E89" s="95"/>
      <c r="F89" s="95"/>
      <c r="G89" s="95"/>
    </row>
    <row r="90" spans="1:7" ht="15.5" x14ac:dyDescent="0.35">
      <c r="A90" s="101" t="s">
        <v>407</v>
      </c>
      <c r="B90" s="101"/>
      <c r="C90" s="13">
        <f>SUMIF('2-Complete Budget'!$B$33:$B$774,"BFB",'2-Complete Budget'!$E$33:$E$774)</f>
        <v>476552</v>
      </c>
      <c r="D90" s="13">
        <f>SUMIF('2-Complete Budget'!$B$33:$B$774,"BFB",'2-Complete Budget'!$F$33:$F$774)</f>
        <v>0</v>
      </c>
      <c r="E90" s="13">
        <f>SUMIF('2-Complete Budget'!$B$33:$B$774,"BFB",'2-Complete Budget'!$G$33:$G$774)</f>
        <v>0</v>
      </c>
      <c r="F90" s="13">
        <f>SUMIF('2-Complete Budget'!$B$33:$B$774,"BFB",'2-Complete Budget'!$H$33:$H$774)</f>
        <v>0</v>
      </c>
      <c r="G90" s="13">
        <f t="shared" ref="G90:G91" si="11">SUM(C90:F90)</f>
        <v>476552</v>
      </c>
    </row>
    <row r="91" spans="1:7" ht="15.5" x14ac:dyDescent="0.35">
      <c r="A91" s="101" t="s">
        <v>255</v>
      </c>
      <c r="B91" s="101"/>
      <c r="C91" s="13">
        <f>SUMIF('2-Complete Budget'!$B$33:$B$774,"ABFB",'2-Complete Budget'!$E$33:$E$774)</f>
        <v>0</v>
      </c>
      <c r="D91" s="13">
        <f>SUMIF('2-Complete Budget'!$B$33:$B$774,"ABFB",'2-Complete Budget'!$F$33:$F$774)</f>
        <v>0</v>
      </c>
      <c r="E91" s="13">
        <f>SUMIF('2-Complete Budget'!$B$33:$B$774,"ABFB",'2-Complete Budget'!$G$33:$G$774)</f>
        <v>0</v>
      </c>
      <c r="F91" s="13">
        <f>SUMIF('2-Complete Budget'!$B$33:$B$774,"ABFB",'2-Complete Budget'!$H$33:$H$774)</f>
        <v>0</v>
      </c>
      <c r="G91" s="13">
        <f t="shared" si="11"/>
        <v>0</v>
      </c>
    </row>
    <row r="92" spans="1:7" ht="15.5" x14ac:dyDescent="0.35">
      <c r="A92" s="101" t="s">
        <v>260</v>
      </c>
      <c r="B92" s="101"/>
      <c r="C92" s="13">
        <f>SUM(C90:C91)</f>
        <v>476552</v>
      </c>
      <c r="D92" s="13">
        <f>SUM(D90:D91)</f>
        <v>0</v>
      </c>
      <c r="E92" s="13">
        <f>SUM(E90:E91)</f>
        <v>0</v>
      </c>
      <c r="F92" s="13">
        <f>SUM(F90:F91)</f>
        <v>0</v>
      </c>
      <c r="G92" s="13">
        <f>SUM(C92:F92)</f>
        <v>476552</v>
      </c>
    </row>
    <row r="93" spans="1:7" ht="15.5" x14ac:dyDescent="0.35">
      <c r="A93" s="102"/>
      <c r="B93" s="104"/>
      <c r="C93" s="3"/>
      <c r="D93" s="3"/>
      <c r="E93" s="3"/>
      <c r="F93" s="3"/>
      <c r="G93" s="3"/>
    </row>
    <row r="94" spans="1:7" ht="15.5" x14ac:dyDescent="0.35">
      <c r="A94" s="101" t="s">
        <v>172</v>
      </c>
      <c r="B94" s="101"/>
      <c r="C94" s="13">
        <f>+C88+C92</f>
        <v>476628</v>
      </c>
      <c r="D94" s="13">
        <f>+D88+D92</f>
        <v>0</v>
      </c>
      <c r="E94" s="13">
        <f>+E88+E92</f>
        <v>0</v>
      </c>
      <c r="F94" s="13">
        <f>+F88+F92</f>
        <v>0</v>
      </c>
      <c r="G94" s="13">
        <f>SUM(C94:F94)</f>
        <v>476628</v>
      </c>
    </row>
    <row r="95" spans="1:7" x14ac:dyDescent="0.25">
      <c r="A95" s="3"/>
      <c r="B95" s="3"/>
      <c r="C95" s="3"/>
    </row>
  </sheetData>
  <sheetProtection algorithmName="SHA-512" hashValue="dHdqd0QKMcP8Gs796P+aQe9jkWv6kpWCKeOzo9RsqVAMThT92UO4ZI36pj83dsfUyEa235YdedNUgygjBbX7XQ==" saltValue="80MLO5QtaFmkNDqylzXglg==" spinCount="100000" sheet="1" selectLockedCells="1" selectUnlockedCells="1"/>
  <mergeCells count="3">
    <mergeCell ref="A1:G1"/>
    <mergeCell ref="A2:G2"/>
    <mergeCell ref="A7:B7"/>
  </mergeCells>
  <printOptions horizontalCentered="1"/>
  <pageMargins left="0.2" right="0.2" top="0.75" bottom="0.75" header="0.3" footer="0.3"/>
  <pageSetup scale="69" orientation="portrait" r:id="rId1"/>
  <headerFooter>
    <oddFooter>&amp;L&amp;8 2018-19 Budget Summary&amp;C&amp;8&amp;P</oddFooter>
  </headerFooter>
  <rowBreaks count="1" manualBreakCount="1">
    <brk id="65"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9"/>
  <sheetViews>
    <sheetView zoomScaleNormal="100" workbookViewId="0">
      <pane ySplit="6" topLeftCell="A7" activePane="bottomLeft" state="frozen"/>
      <selection activeCell="E14" sqref="E14:F14"/>
      <selection pane="bottomLeft" activeCell="E47" sqref="E47"/>
    </sheetView>
  </sheetViews>
  <sheetFormatPr defaultRowHeight="12.5" x14ac:dyDescent="0.25"/>
  <cols>
    <col min="1" max="1" width="6.453125" customWidth="1"/>
    <col min="2" max="2" width="45.7265625" customWidth="1"/>
    <col min="3" max="3" width="15" customWidth="1"/>
    <col min="4" max="7" width="15.54296875" customWidth="1"/>
  </cols>
  <sheetData>
    <row r="1" spans="1:7" ht="23.5" x14ac:dyDescent="0.55000000000000004">
      <c r="A1" s="419" t="s">
        <v>406</v>
      </c>
      <c r="B1" s="419"/>
      <c r="C1" s="419"/>
      <c r="D1" s="419"/>
      <c r="E1" s="419"/>
      <c r="F1" s="419"/>
      <c r="G1" s="419"/>
    </row>
    <row r="2" spans="1:7" ht="23.15" customHeight="1" x14ac:dyDescent="0.35">
      <c r="A2" s="422" t="str">
        <f>+'2-Complete Budget'!A2:I2</f>
        <v xml:space="preserve">5060 SunFire High School 
 </v>
      </c>
      <c r="B2" s="422"/>
      <c r="C2" s="422"/>
      <c r="D2" s="422"/>
      <c r="E2" s="422"/>
      <c r="F2" s="422"/>
      <c r="G2" s="422"/>
    </row>
    <row r="3" spans="1:7" s="1" customFormat="1" ht="19" customHeight="1" thickBot="1" x14ac:dyDescent="0.3">
      <c r="A3" s="2"/>
      <c r="B3" s="2"/>
      <c r="C3" s="2"/>
    </row>
    <row r="4" spans="1:7" ht="20.149999999999999" customHeight="1" thickBot="1" x14ac:dyDescent="0.35">
      <c r="A4" s="3"/>
      <c r="B4" s="3"/>
      <c r="F4" s="105" t="s">
        <v>257</v>
      </c>
      <c r="G4" s="106">
        <f>+'2-Complete Budget'!I3</f>
        <v>306.38</v>
      </c>
    </row>
    <row r="5" spans="1:7" ht="16.5" customHeight="1" x14ac:dyDescent="0.3">
      <c r="A5" s="3"/>
      <c r="B5" s="4"/>
      <c r="F5" s="4"/>
      <c r="G5" s="103"/>
    </row>
    <row r="6" spans="1:7" ht="16.5" customHeight="1" x14ac:dyDescent="0.35">
      <c r="A6" s="3"/>
      <c r="B6" s="4"/>
      <c r="C6" s="79" t="s">
        <v>245</v>
      </c>
      <c r="D6" s="79" t="s">
        <v>246</v>
      </c>
      <c r="E6" s="79" t="s">
        <v>247</v>
      </c>
      <c r="F6" s="79" t="s">
        <v>248</v>
      </c>
      <c r="G6" s="79" t="s">
        <v>249</v>
      </c>
    </row>
    <row r="7" spans="1:7" ht="28.5" x14ac:dyDescent="0.65">
      <c r="A7" s="423" t="s">
        <v>78</v>
      </c>
      <c r="B7" s="424"/>
      <c r="C7" s="6"/>
      <c r="D7" s="6"/>
      <c r="E7" s="6"/>
      <c r="F7" s="6"/>
      <c r="G7" s="6"/>
    </row>
    <row r="8" spans="1:7" ht="15" customHeight="1" x14ac:dyDescent="0.25">
      <c r="A8" s="20">
        <v>3200</v>
      </c>
      <c r="B8" s="21" t="s">
        <v>312</v>
      </c>
      <c r="C8" s="9">
        <f>SUMIF('2-Complete Budget'!$B$8:$B$28,"32",'2-Complete Budget'!$E$8:$E$28)</f>
        <v>0</v>
      </c>
      <c r="D8" s="9">
        <f>SUMIF('2-Complete Budget'!$B$8:$B$28,"32",'2-Complete Budget'!$F$8:$F$28)</f>
        <v>205000</v>
      </c>
      <c r="E8" s="9">
        <f>SUMIF('2-Complete Budget'!$B$8:$B$28,"32",'2-Complete Budget'!$G$8:$G$28)</f>
        <v>0</v>
      </c>
      <c r="F8" s="9">
        <f>SUMIF('2-Complete Budget'!$B$8:$B$28,"32",'2-Complete Budget'!$H$8:$H$28)</f>
        <v>0</v>
      </c>
      <c r="G8" s="9">
        <f>SUM(C8:F8)</f>
        <v>205000</v>
      </c>
    </row>
    <row r="9" spans="1:7" ht="15" customHeight="1" x14ac:dyDescent="0.25">
      <c r="A9" s="20">
        <v>3300</v>
      </c>
      <c r="B9" s="21" t="s">
        <v>222</v>
      </c>
      <c r="C9" s="9">
        <f>SUMIF('2-Complete Budget'!$B$8:$B$28,"33",'2-Complete Budget'!$E$8:$E$28)</f>
        <v>282774</v>
      </c>
      <c r="D9" s="9">
        <f>SUMIF('2-Complete Budget'!$B$8:$B$28,"33",'2-Complete Budget'!$F$8:$F$28)</f>
        <v>0</v>
      </c>
      <c r="E9" s="9">
        <f>SUMIF('2-Complete Budget'!$B$8:$B$28,"33",'2-Complete Budget'!$G$8:$G$28)</f>
        <v>0</v>
      </c>
      <c r="F9" s="9">
        <f>SUMIF('2-Complete Budget'!$B$8:$B$28,"33",'2-Complete Budget'!$H$8:$H$28)</f>
        <v>189000</v>
      </c>
      <c r="G9" s="9">
        <f t="shared" ref="G9:G12" si="0">SUM(C9:F9)</f>
        <v>471774</v>
      </c>
    </row>
    <row r="10" spans="1:7" ht="15" customHeight="1" x14ac:dyDescent="0.25">
      <c r="A10" s="20">
        <v>3310</v>
      </c>
      <c r="B10" s="21" t="s">
        <v>223</v>
      </c>
      <c r="C10" s="9">
        <f>SUMIF('2-Complete Budget'!$B$8:$B$28,"331",'2-Complete Budget'!$E$8:$E$28)</f>
        <v>1929082</v>
      </c>
      <c r="D10" s="9">
        <f>SUMIF('2-Complete Budget'!$B$8:$B$28,"331",'2-Complete Budget'!$F$8:$F$28)</f>
        <v>0</v>
      </c>
      <c r="E10" s="9">
        <f>SUMIF('2-Complete Budget'!$B$8:$B$28,"331",'2-Complete Budget'!$G$8:$G$28)</f>
        <v>0</v>
      </c>
      <c r="F10" s="9">
        <f>SUMIF('2-Complete Budget'!$B$8:$B$28,"331",'2-Complete Budget'!$H$8:$H$28)</f>
        <v>0</v>
      </c>
      <c r="G10" s="9">
        <f t="shared" si="0"/>
        <v>1929082</v>
      </c>
    </row>
    <row r="11" spans="1:7" ht="15" customHeight="1" x14ac:dyDescent="0.25">
      <c r="A11" s="20">
        <v>3400</v>
      </c>
      <c r="B11" s="21" t="s">
        <v>224</v>
      </c>
      <c r="C11" s="9">
        <f>SUMIF('2-Complete Budget'!$B$8:$B$28,"34",'2-Complete Budget'!$E$8:$E$28)</f>
        <v>106700</v>
      </c>
      <c r="D11" s="9">
        <f>SUMIF('2-Complete Budget'!$B$8:$B$28,"34",'2-Complete Budget'!$F$8:$F$28)</f>
        <v>0</v>
      </c>
      <c r="E11" s="9">
        <f>SUMIF('2-Complete Budget'!$B$8:$B$28,"34",'2-Complete Budget'!$G$8:$G$28)</f>
        <v>0</v>
      </c>
      <c r="F11" s="9">
        <f>SUMIF('2-Complete Budget'!$B$8:$B$28,"34",'2-Complete Budget'!$H$8:$H$28)</f>
        <v>0</v>
      </c>
      <c r="G11" s="9">
        <f t="shared" si="0"/>
        <v>106700</v>
      </c>
    </row>
    <row r="12" spans="1:7" ht="15" customHeight="1" x14ac:dyDescent="0.25">
      <c r="A12" s="22">
        <v>3700</v>
      </c>
      <c r="B12" s="21" t="s">
        <v>80</v>
      </c>
      <c r="C12" s="9">
        <f>SUMIF('2-Complete Budget'!$B$8:$B$28,"37",'2-Complete Budget'!$E$8:$E$28)</f>
        <v>0</v>
      </c>
      <c r="D12" s="9">
        <f>SUMIF('2-Complete Budget'!$B$8:$B$28,"37",'2-Complete Budget'!$F$8:$F$28)</f>
        <v>0</v>
      </c>
      <c r="E12" s="9">
        <f>SUMIF('2-Complete Budget'!$B$8:$B$28,"37",'2-Complete Budget'!$G$8:$G$28)</f>
        <v>0</v>
      </c>
      <c r="F12" s="9">
        <f>SUMIF('2-Complete Budget'!$B$8:$B$28,"37",'2-Complete Budget'!$H$8:$H$28)</f>
        <v>0</v>
      </c>
      <c r="G12" s="9">
        <f t="shared" si="0"/>
        <v>0</v>
      </c>
    </row>
    <row r="13" spans="1:7" ht="15" customHeight="1" x14ac:dyDescent="0.35">
      <c r="A13" s="11" t="s">
        <v>82</v>
      </c>
      <c r="B13" s="12"/>
      <c r="C13" s="13">
        <f>SUM(C8:C12)</f>
        <v>2318556</v>
      </c>
      <c r="D13" s="13">
        <f>SUM(D8:D12)</f>
        <v>205000</v>
      </c>
      <c r="E13" s="13">
        <f>SUM(E8:E12)</f>
        <v>0</v>
      </c>
      <c r="F13" s="13">
        <f>SUM(F8:F12)</f>
        <v>189000</v>
      </c>
      <c r="G13" s="13">
        <f>SUM(C13:F13)</f>
        <v>2712556</v>
      </c>
    </row>
    <row r="14" spans="1:7" x14ac:dyDescent="0.25">
      <c r="A14" s="3"/>
      <c r="B14" s="3"/>
      <c r="C14" s="3"/>
      <c r="D14" s="3"/>
      <c r="E14" s="3"/>
      <c r="F14" s="3"/>
      <c r="G14" s="3"/>
    </row>
    <row r="15" spans="1:7" ht="28.5" x14ac:dyDescent="0.65">
      <c r="A15" s="423" t="s">
        <v>83</v>
      </c>
      <c r="B15" s="424"/>
      <c r="C15" s="6"/>
      <c r="D15" s="6"/>
      <c r="E15" s="6"/>
      <c r="F15" s="6"/>
      <c r="G15" s="6"/>
    </row>
    <row r="16" spans="1:7" ht="15" customHeight="1" x14ac:dyDescent="0.25">
      <c r="A16" s="20">
        <v>5000</v>
      </c>
      <c r="B16" s="21" t="s">
        <v>225</v>
      </c>
      <c r="C16" s="9">
        <f>SUMIF('2-Complete Budget'!$B$33:$B$774,"5000",'2-Complete Budget'!$E$33:$E$774)</f>
        <v>824300</v>
      </c>
      <c r="D16" s="9">
        <f>SUMIF('2-Complete Budget'!$B$33:$B$774,"5000",'2-Complete Budget'!$F$33:$F$774)</f>
        <v>0</v>
      </c>
      <c r="E16" s="9">
        <f>SUMIF('2-Complete Budget'!$B$33:$B$774,"5000",'2-Complete Budget'!$G$33:$G$774)</f>
        <v>0</v>
      </c>
      <c r="F16" s="9">
        <f>SUMIF('2-Complete Budget'!$B$33:$B$774,"5000",'2-Complete Budget'!$H$33:$H$774)</f>
        <v>0</v>
      </c>
      <c r="G16" s="9">
        <f t="shared" ref="G16:G29" si="1">SUM(C16:F16)</f>
        <v>824300</v>
      </c>
    </row>
    <row r="17" spans="1:7" ht="15" customHeight="1" x14ac:dyDescent="0.25">
      <c r="A17" s="20">
        <v>6000</v>
      </c>
      <c r="B17" s="21" t="s">
        <v>226</v>
      </c>
      <c r="C17" s="9">
        <f>SUMIF('2-Complete Budget'!$B$33:$B$774,"6000",'2-Complete Budget'!$E$33:$E$774)</f>
        <v>104400</v>
      </c>
      <c r="D17" s="9">
        <f>SUMIF('2-Complete Budget'!$B$33:$B$774,"6000",'2-Complete Budget'!$F$33:$F$774)</f>
        <v>0</v>
      </c>
      <c r="E17" s="9">
        <f>SUMIF('2-Complete Budget'!$B$33:$B$774,"6000",'2-Complete Budget'!$G$33:$G$774)</f>
        <v>0</v>
      </c>
      <c r="F17" s="9">
        <f>SUMIF('2-Complete Budget'!$B$33:$B$774,"6000",'2-Complete Budget'!$H$33:$H$774)</f>
        <v>0</v>
      </c>
      <c r="G17" s="9">
        <f t="shared" si="1"/>
        <v>104400</v>
      </c>
    </row>
    <row r="18" spans="1:7" ht="15" customHeight="1" x14ac:dyDescent="0.25">
      <c r="A18" s="20">
        <v>7100</v>
      </c>
      <c r="B18" s="21" t="s">
        <v>77</v>
      </c>
      <c r="C18" s="9">
        <f>SUMIF('2-Complete Budget'!$B$33:$B$774,"7100",'2-Complete Budget'!$E$33:$E$774)</f>
        <v>8300</v>
      </c>
      <c r="D18" s="9">
        <f>SUMIF('2-Complete Budget'!$B$33:$B$774,"7100",'2-Complete Budget'!$F$33:$F$774)</f>
        <v>0</v>
      </c>
      <c r="E18" s="9">
        <f>SUMIF('2-Complete Budget'!$B$33:$B$774,"7100",'2-Complete Budget'!$G$33:$G$774)</f>
        <v>0</v>
      </c>
      <c r="F18" s="9">
        <f>SUMIF('2-Complete Budget'!$B$33:$B$774,"7100",'2-Complete Budget'!$H$33:$H$774)</f>
        <v>0</v>
      </c>
      <c r="G18" s="9">
        <f t="shared" si="1"/>
        <v>8300</v>
      </c>
    </row>
    <row r="19" spans="1:7" ht="15" customHeight="1" x14ac:dyDescent="0.25">
      <c r="A19" s="20">
        <v>7300</v>
      </c>
      <c r="B19" s="21" t="s">
        <v>302</v>
      </c>
      <c r="C19" s="9">
        <f>SUMIF('2-Complete Budget'!$B$33:$B$774,"7300",'2-Complete Budget'!$E$33:$E$774)</f>
        <v>885980</v>
      </c>
      <c r="D19" s="9">
        <f>SUMIF('2-Complete Budget'!$B$33:$B$774,"7300",'2-Complete Budget'!$F$33:$F$774)</f>
        <v>0</v>
      </c>
      <c r="E19" s="9">
        <f>SUMIF('2-Complete Budget'!$B$33:$B$774,"7300",'2-Complete Budget'!$G$33:$G$774)</f>
        <v>0</v>
      </c>
      <c r="F19" s="9">
        <f>SUMIF('2-Complete Budget'!$B$33:$B$774,"7300",'2-Complete Budget'!$H$33:$H$774)</f>
        <v>0</v>
      </c>
      <c r="G19" s="9">
        <f t="shared" si="1"/>
        <v>885980</v>
      </c>
    </row>
    <row r="20" spans="1:7" ht="15" customHeight="1" x14ac:dyDescent="0.25">
      <c r="A20" s="20">
        <v>7400</v>
      </c>
      <c r="B20" s="21" t="s">
        <v>303</v>
      </c>
      <c r="C20" s="9">
        <f>SUMIF('2-Complete Budget'!$B$33:$B$774,"7400",'2-Complete Budget'!$E$33:$E$774)</f>
        <v>50000</v>
      </c>
      <c r="D20" s="9">
        <f>SUMIF('2-Complete Budget'!$B$33:$B$774,"7400",'2-Complete Budget'!$F$33:$F$774)</f>
        <v>0</v>
      </c>
      <c r="E20" s="9">
        <f>SUMIF('2-Complete Budget'!$B$33:$B$774,"7400",'2-Complete Budget'!$G$33:$G$774)</f>
        <v>0</v>
      </c>
      <c r="F20" s="9">
        <f>SUMIF('2-Complete Budget'!$B$33:$B$774,"7400",'2-Complete Budget'!$H$33:$H$774)</f>
        <v>0</v>
      </c>
      <c r="G20" s="9">
        <f t="shared" si="1"/>
        <v>50000</v>
      </c>
    </row>
    <row r="21" spans="1:7" ht="15" customHeight="1" x14ac:dyDescent="0.25">
      <c r="A21" s="20">
        <v>7500</v>
      </c>
      <c r="B21" s="21" t="s">
        <v>304</v>
      </c>
      <c r="C21" s="9">
        <f>SUMIF('2-Complete Budget'!$B$33:$B$774,"7500",'2-Complete Budget'!$E$33:$E$774)</f>
        <v>28000</v>
      </c>
      <c r="D21" s="9">
        <f>SUMIF('2-Complete Budget'!$B$33:$B$774,"7500",'2-Complete Budget'!$F$33:$F$774)</f>
        <v>0</v>
      </c>
      <c r="E21" s="9">
        <f>SUMIF('2-Complete Budget'!$B$33:$B$774,"7500",'2-Complete Budget'!$G$33:$G$774)</f>
        <v>0</v>
      </c>
      <c r="F21" s="9">
        <f>SUMIF('2-Complete Budget'!$B$33:$B$774,"7500",'2-Complete Budget'!$H$33:$H$774)</f>
        <v>0</v>
      </c>
      <c r="G21" s="9">
        <f t="shared" si="1"/>
        <v>28000</v>
      </c>
    </row>
    <row r="22" spans="1:7" ht="15" customHeight="1" x14ac:dyDescent="0.25">
      <c r="A22" s="20">
        <v>7600</v>
      </c>
      <c r="B22" s="21" t="s">
        <v>305</v>
      </c>
      <c r="C22" s="9">
        <f>SUMIF('2-Complete Budget'!$B$33:$B$774,"7600",'2-Complete Budget'!$E$33:$E$774)</f>
        <v>0</v>
      </c>
      <c r="D22" s="9">
        <f>SUMIF('2-Complete Budget'!$B$33:$B$774,"7600",'2-Complete Budget'!$F$33:$F$774)</f>
        <v>193000</v>
      </c>
      <c r="E22" s="9">
        <f>SUMIF('2-Complete Budget'!$B$33:$B$774,"7600",'2-Complete Budget'!$G$33:$G$774)</f>
        <v>0</v>
      </c>
      <c r="F22" s="9">
        <f>SUMIF('2-Complete Budget'!$B$33:$B$774,"7600",'2-Complete Budget'!$H$33:$H$774)</f>
        <v>0</v>
      </c>
      <c r="G22" s="9">
        <f t="shared" si="1"/>
        <v>193000</v>
      </c>
    </row>
    <row r="23" spans="1:7" ht="15" customHeight="1" x14ac:dyDescent="0.25">
      <c r="A23" s="20">
        <v>7700</v>
      </c>
      <c r="B23" s="21" t="s">
        <v>306</v>
      </c>
      <c r="C23" s="9">
        <f>SUMIF('2-Complete Budget'!$B$33:$B$774,"7700",'2-Complete Budget'!$E$33:$E$774)</f>
        <v>0</v>
      </c>
      <c r="D23" s="9">
        <f>SUMIF('2-Complete Budget'!$B$33:$B$774,"7700",'2-Complete Budget'!$F$33:$F$774)</f>
        <v>0</v>
      </c>
      <c r="E23" s="9">
        <f>SUMIF('2-Complete Budget'!$B$33:$B$774,"7700",'2-Complete Budget'!$G$33:$G$774)</f>
        <v>0</v>
      </c>
      <c r="F23" s="9">
        <f>SUMIF('2-Complete Budget'!$B$33:$B$774,"7700",'2-Complete Budget'!$H$33:$H$774)</f>
        <v>0</v>
      </c>
      <c r="G23" s="9">
        <f t="shared" si="1"/>
        <v>0</v>
      </c>
    </row>
    <row r="24" spans="1:7" ht="15" customHeight="1" x14ac:dyDescent="0.25">
      <c r="A24" s="20">
        <v>7800</v>
      </c>
      <c r="B24" s="21" t="s">
        <v>307</v>
      </c>
      <c r="C24" s="9">
        <f>SUMIF('2-Complete Budget'!$B$33:$B$774,"7800",'2-Complete Budget'!$E$33:$E$774)</f>
        <v>106200</v>
      </c>
      <c r="D24" s="9">
        <f>SUMIF('2-Complete Budget'!$B$33:$B$774,"7800",'2-Complete Budget'!$F$33:$F$774)</f>
        <v>0</v>
      </c>
      <c r="E24" s="9">
        <f>SUMIF('2-Complete Budget'!$B$33:$B$774,"7800",'2-Complete Budget'!$G$33:$G$774)</f>
        <v>0</v>
      </c>
      <c r="F24" s="9">
        <f>SUMIF('2-Complete Budget'!$B$33:$B$774,"7800",'2-Complete Budget'!$H$33:$H$774)</f>
        <v>0</v>
      </c>
      <c r="G24" s="9">
        <f t="shared" si="1"/>
        <v>106200</v>
      </c>
    </row>
    <row r="25" spans="1:7" ht="15" customHeight="1" x14ac:dyDescent="0.25">
      <c r="A25" s="20">
        <v>7900</v>
      </c>
      <c r="B25" s="21" t="s">
        <v>308</v>
      </c>
      <c r="C25" s="9">
        <f>SUMIF('2-Complete Budget'!$B$33:$B$774,"7900",'2-Complete Budget'!$E$33:$E$774)</f>
        <v>293300</v>
      </c>
      <c r="D25" s="9">
        <f>SUMIF('2-Complete Budget'!$B$33:$B$774,"7900",'2-Complete Budget'!$F$33:$F$774)</f>
        <v>12000</v>
      </c>
      <c r="E25" s="9">
        <f>SUMIF('2-Complete Budget'!$B$33:$B$774,"7900",'2-Complete Budget'!$G$33:$G$774)</f>
        <v>0</v>
      </c>
      <c r="F25" s="9">
        <f>SUMIF('2-Complete Budget'!$B$33:$B$774,"7900",'2-Complete Budget'!$H$33:$H$774)</f>
        <v>189000</v>
      </c>
      <c r="G25" s="9">
        <f t="shared" si="1"/>
        <v>494300</v>
      </c>
    </row>
    <row r="26" spans="1:7" ht="15" customHeight="1" x14ac:dyDescent="0.25">
      <c r="A26" s="20">
        <v>8100</v>
      </c>
      <c r="B26" s="21" t="s">
        <v>309</v>
      </c>
      <c r="C26" s="9">
        <f>SUMIF('2-Complete Budget'!$B$33:$B$774,"8100",'2-Complete Budget'!$E$33:$E$774)</f>
        <v>18000</v>
      </c>
      <c r="D26" s="9">
        <f>SUMIF('2-Complete Budget'!$B$33:$B$774,"8100",'2-Complete Budget'!$F$33:$F$774)</f>
        <v>0</v>
      </c>
      <c r="E26" s="9">
        <f>SUMIF('2-Complete Budget'!$B$33:$B$774,"8100",'2-Complete Budget'!$G$33:$G$774)</f>
        <v>0</v>
      </c>
      <c r="F26" s="9">
        <f>SUMIF('2-Complete Budget'!$B$33:$B$774,"8100",'2-Complete Budget'!$H$33:$H$774)</f>
        <v>0</v>
      </c>
      <c r="G26" s="9">
        <f t="shared" si="1"/>
        <v>18000</v>
      </c>
    </row>
    <row r="27" spans="1:7" ht="15" customHeight="1" x14ac:dyDescent="0.25">
      <c r="A27" s="20">
        <v>8200</v>
      </c>
      <c r="B27" s="21" t="s">
        <v>310</v>
      </c>
      <c r="C27" s="9">
        <f>SUMIF('2-Complete Budget'!$B$33:$B$774,"8200",'2-Complete Budget'!$E$33:$E$774)</f>
        <v>0</v>
      </c>
      <c r="D27" s="9">
        <f>SUMIF('2-Complete Budget'!$B$33:$B$774,"8200",'2-Complete Budget'!$F$33:$F$774)</f>
        <v>0</v>
      </c>
      <c r="E27" s="9">
        <f>SUMIF('2-Complete Budget'!$B$33:$B$774,"8200",'2-Complete Budget'!$G$33:$G$774)</f>
        <v>0</v>
      </c>
      <c r="F27" s="9">
        <f>SUMIF('2-Complete Budget'!$B$33:$B$774,"8200",'2-Complete Budget'!$H$33:$H$774)</f>
        <v>0</v>
      </c>
      <c r="G27" s="9">
        <f t="shared" si="1"/>
        <v>0</v>
      </c>
    </row>
    <row r="28" spans="1:7" ht="15" customHeight="1" x14ac:dyDescent="0.25">
      <c r="A28" s="20">
        <v>9100</v>
      </c>
      <c r="B28" s="21" t="s">
        <v>311</v>
      </c>
      <c r="C28" s="9">
        <f>SUMIF('2-Complete Budget'!$B$33:$B$774,"9100",'2-Complete Budget'!$E$33:$E$774)</f>
        <v>0</v>
      </c>
      <c r="D28" s="9">
        <f>SUMIF('2-Complete Budget'!$B$33:$B$774,"9100",'2-Complete Budget'!$F$33:$F$774)</f>
        <v>0</v>
      </c>
      <c r="E28" s="9">
        <f>SUMIF('2-Complete Budget'!$B$33:$B$774,"9100",'2-Complete Budget'!$G$33:$G$774)</f>
        <v>0</v>
      </c>
      <c r="F28" s="9">
        <f>SUMIF('2-Complete Budget'!$B$33:$B$774,"9100",'2-Complete Budget'!$H$33:$H$774)</f>
        <v>0</v>
      </c>
      <c r="G28" s="9">
        <f t="shared" si="1"/>
        <v>0</v>
      </c>
    </row>
    <row r="29" spans="1:7" ht="15" customHeight="1" x14ac:dyDescent="0.25">
      <c r="A29" s="20">
        <v>9200</v>
      </c>
      <c r="B29" s="21" t="s">
        <v>247</v>
      </c>
      <c r="C29" s="9">
        <f>SUMIF('2-Complete Budget'!$B$33:$B$774,"9200",'2-Complete Budget'!$E$33:$E$774)</f>
        <v>0</v>
      </c>
      <c r="D29" s="9">
        <f>SUMIF('2-Complete Budget'!$B$33:$B$774,"9200",'2-Complete Budget'!$F$33:$F$774)</f>
        <v>0</v>
      </c>
      <c r="E29" s="9">
        <f>SUMIF('2-Complete Budget'!$B$33:$B$774,"9200",'2-Complete Budget'!$G$33:$G$774)</f>
        <v>0</v>
      </c>
      <c r="F29" s="9">
        <f>SUMIF('2-Complete Budget'!$B$33:$B$774,"9200",'2-Complete Budget'!$H$33:$H$774)</f>
        <v>0</v>
      </c>
      <c r="G29" s="9">
        <f t="shared" si="1"/>
        <v>0</v>
      </c>
    </row>
    <row r="30" spans="1:7" x14ac:dyDescent="0.25">
      <c r="A30" s="3"/>
      <c r="B30" s="3"/>
      <c r="C30" s="3"/>
      <c r="D30" s="3"/>
      <c r="E30" s="3"/>
      <c r="F30" s="3"/>
      <c r="G30" s="3"/>
    </row>
    <row r="31" spans="1:7" ht="14.5" x14ac:dyDescent="0.35">
      <c r="A31" s="18" t="s">
        <v>86</v>
      </c>
      <c r="B31" s="19"/>
      <c r="C31" s="9">
        <f>SUMIF('2-Complete Budget'!$B$33:$B$774,"RF",'2-Complete Budget'!$E$33:$E$774)</f>
        <v>0</v>
      </c>
      <c r="D31" s="9">
        <f>SUMIF('2-Complete Budget'!$B$33:$B$774,"RF",'2-Complete Budget'!$F$33:$F$774)</f>
        <v>0</v>
      </c>
      <c r="E31" s="9">
        <f>SUMIF('2-Complete Budget'!$B$33:$B$774,"RF",'2-Complete Budget'!$G$33:$G$774)</f>
        <v>0</v>
      </c>
      <c r="F31" s="9">
        <f>SUMIF('2-Complete Budget'!$B$33:$B$774,"RF",'2-Complete Budget'!$H$33:$H$774)</f>
        <v>0</v>
      </c>
      <c r="G31" s="9">
        <f t="shared" ref="G31" si="2">SUM(C31:F31)</f>
        <v>0</v>
      </c>
    </row>
    <row r="32" spans="1:7" x14ac:dyDescent="0.25">
      <c r="A32" s="3"/>
      <c r="B32" s="3"/>
      <c r="C32" s="3"/>
      <c r="D32" s="3"/>
      <c r="E32" s="3"/>
      <c r="F32" s="3"/>
      <c r="G32" s="3"/>
    </row>
    <row r="33" spans="1:7" ht="15.5" x14ac:dyDescent="0.35">
      <c r="A33" s="11" t="s">
        <v>87</v>
      </c>
      <c r="B33" s="12"/>
      <c r="C33" s="13">
        <f>SUM(C16:C31)</f>
        <v>2318480</v>
      </c>
      <c r="D33" s="13">
        <f>SUM(D16:D31)</f>
        <v>205000</v>
      </c>
      <c r="E33" s="13">
        <f>SUM(E16:E31)</f>
        <v>0</v>
      </c>
      <c r="F33" s="13">
        <f>SUM(F16:F31)</f>
        <v>189000</v>
      </c>
      <c r="G33" s="13">
        <f>SUM(C33:F33)</f>
        <v>2712480</v>
      </c>
    </row>
    <row r="34" spans="1:7" ht="15.5" x14ac:dyDescent="0.35">
      <c r="A34" s="11" t="s">
        <v>82</v>
      </c>
      <c r="B34" s="12"/>
      <c r="C34" s="13">
        <f>+C13</f>
        <v>2318556</v>
      </c>
      <c r="D34" s="13">
        <f>+D13</f>
        <v>205000</v>
      </c>
      <c r="E34" s="13">
        <f>+E13</f>
        <v>0</v>
      </c>
      <c r="F34" s="13">
        <f>+F13</f>
        <v>189000</v>
      </c>
      <c r="G34" s="13">
        <f t="shared" ref="G34:G35" si="3">SUM(C34:F34)</f>
        <v>2712556</v>
      </c>
    </row>
    <row r="35" spans="1:7" ht="15.5" x14ac:dyDescent="0.35">
      <c r="A35" s="11" t="s">
        <v>173</v>
      </c>
      <c r="B35" s="12"/>
      <c r="C35" s="13">
        <f>+C34-C33</f>
        <v>76</v>
      </c>
      <c r="D35" s="13">
        <f>+D34-D33</f>
        <v>0</v>
      </c>
      <c r="E35" s="13">
        <f>+E34-E33</f>
        <v>0</v>
      </c>
      <c r="F35" s="13">
        <f>+F34-F33</f>
        <v>0</v>
      </c>
      <c r="G35" s="13">
        <f t="shared" si="3"/>
        <v>76</v>
      </c>
    </row>
    <row r="36" spans="1:7" x14ac:dyDescent="0.25">
      <c r="A36" s="3"/>
      <c r="B36" s="3"/>
      <c r="C36" s="3"/>
      <c r="D36" s="3"/>
      <c r="E36" s="3"/>
      <c r="F36" s="3"/>
      <c r="G36" s="3"/>
    </row>
    <row r="37" spans="1:7" ht="18.5" x14ac:dyDescent="0.45">
      <c r="A37" s="100" t="s">
        <v>250</v>
      </c>
      <c r="B37" s="100"/>
      <c r="C37" s="100"/>
      <c r="D37" s="100"/>
      <c r="E37" s="100"/>
      <c r="F37" s="100"/>
      <c r="G37" s="100"/>
    </row>
    <row r="38" spans="1:7" x14ac:dyDescent="0.25">
      <c r="A38" s="99"/>
      <c r="B38" s="53" t="s">
        <v>251</v>
      </c>
      <c r="C38" s="9">
        <f>SUMIF('2-Complete Budget'!$B$33:$B$774,"TI",'2-Complete Budget'!$E$33:$E$774)</f>
        <v>0</v>
      </c>
      <c r="D38" s="9">
        <f>SUMIF('2-Complete Budget'!$B$33:$B$774,"TI",'2-Complete Budget'!$F$33:$F$774)</f>
        <v>0</v>
      </c>
      <c r="E38" s="9">
        <f>SUMIF('2-Complete Budget'!$B$33:$B$774,"TI",'2-Complete Budget'!$G$33:$G$774)</f>
        <v>0</v>
      </c>
      <c r="F38" s="9">
        <f>SUMIF('2-Complete Budget'!$B$33:$B$774,"TI",'2-Complete Budget'!$H$33:$H$774)</f>
        <v>0</v>
      </c>
      <c r="G38" s="9">
        <f t="shared" ref="G38" si="4">SUM(C38:F38)</f>
        <v>0</v>
      </c>
    </row>
    <row r="39" spans="1:7" x14ac:dyDescent="0.25">
      <c r="A39" s="99"/>
      <c r="B39" s="53" t="s">
        <v>256</v>
      </c>
      <c r="C39" s="9">
        <f>SUMIF('2-Complete Budget'!$B$33:$B$774,"TI-LT",'2-Complete Budget'!$E$33:$E$774)</f>
        <v>0</v>
      </c>
      <c r="D39" s="9">
        <f>SUMIF('2-Complete Budget'!$B$33:$B$774,"TI-LT",'2-Complete Budget'!$F$33:$F$774)</f>
        <v>0</v>
      </c>
      <c r="E39" s="9">
        <f>SUMIF('2-Complete Budget'!$B$33:$B$774,"TI-LT",'2-Complete Budget'!$G$33:$G$774)</f>
        <v>0</v>
      </c>
      <c r="F39" s="9">
        <f>SUMIF('2-Complete Budget'!$B$33:$B$774,"TI-LT",'2-Complete Budget'!$H$33:$H$774)</f>
        <v>0</v>
      </c>
      <c r="G39" s="9">
        <f t="shared" ref="G39" si="5">SUM(C39:F39)</f>
        <v>0</v>
      </c>
    </row>
    <row r="40" spans="1:7" x14ac:dyDescent="0.25">
      <c r="A40" s="99"/>
      <c r="B40" s="53" t="s">
        <v>252</v>
      </c>
      <c r="C40" s="9">
        <f>SUMIF('2-Complete Budget'!$B$33:$B$774,"TO",'2-Complete Budget'!$E$33:$E$774)</f>
        <v>0</v>
      </c>
      <c r="D40" s="9">
        <f>SUMIF('2-Complete Budget'!$B$33:$B$774,"TO",'2-Complete Budget'!$F$33:$F$774)</f>
        <v>0</v>
      </c>
      <c r="E40" s="9">
        <f>SUMIF('2-Complete Budget'!$B$33:$B$774,"TO",'2-Complete Budget'!$G$33:$G$774)</f>
        <v>0</v>
      </c>
      <c r="F40" s="9">
        <f>SUMIF('2-Complete Budget'!$B$33:$B$774,"TO",'2-Complete Budget'!$H$33:$H$774)</f>
        <v>0</v>
      </c>
      <c r="G40" s="9">
        <f t="shared" ref="G40" si="6">SUM(C40:F40)</f>
        <v>0</v>
      </c>
    </row>
    <row r="41" spans="1:7" ht="15.5" x14ac:dyDescent="0.35">
      <c r="A41" s="11" t="s">
        <v>253</v>
      </c>
      <c r="B41" s="12"/>
      <c r="C41" s="13">
        <f>SUM(C38:C40)</f>
        <v>0</v>
      </c>
      <c r="D41" s="13">
        <f>SUM(D38:D40)</f>
        <v>0</v>
      </c>
      <c r="E41" s="13">
        <f>SUM(E38:E40)</f>
        <v>0</v>
      </c>
      <c r="F41" s="13">
        <f>SUM(F38:F40)</f>
        <v>0</v>
      </c>
      <c r="G41" s="13">
        <f>SUM(C41:F41)</f>
        <v>0</v>
      </c>
    </row>
    <row r="42" spans="1:7" x14ac:dyDescent="0.25">
      <c r="A42" s="3"/>
      <c r="B42" s="3"/>
      <c r="C42" s="3"/>
      <c r="D42" s="3"/>
      <c r="E42" s="3"/>
      <c r="F42" s="3"/>
      <c r="G42" s="3"/>
    </row>
    <row r="43" spans="1:7" ht="15.5" x14ac:dyDescent="0.35">
      <c r="A43" s="3"/>
      <c r="B43" s="101" t="s">
        <v>254</v>
      </c>
      <c r="C43" s="13">
        <f>+C35+C41</f>
        <v>76</v>
      </c>
      <c r="D43" s="13">
        <f>+D35+D41</f>
        <v>0</v>
      </c>
      <c r="E43" s="13">
        <f>+E35+E41</f>
        <v>0</v>
      </c>
      <c r="F43" s="13">
        <f>+F35+F41</f>
        <v>0</v>
      </c>
      <c r="G43" s="13">
        <f>SUM(C43:F43)</f>
        <v>76</v>
      </c>
    </row>
    <row r="44" spans="1:7" ht="15.5" x14ac:dyDescent="0.35">
      <c r="A44" s="3"/>
      <c r="B44" s="102"/>
      <c r="C44" s="95"/>
      <c r="D44" s="95"/>
      <c r="E44" s="95"/>
      <c r="F44" s="95"/>
      <c r="G44" s="95"/>
    </row>
    <row r="45" spans="1:7" ht="15.5" x14ac:dyDescent="0.35">
      <c r="A45" s="3"/>
      <c r="B45" s="101" t="s">
        <v>407</v>
      </c>
      <c r="C45" s="13">
        <f>SUMIF('2-Complete Budget'!$B$33:$B$774,"BFB",'2-Complete Budget'!$E$33:$E$774)</f>
        <v>476552</v>
      </c>
      <c r="D45" s="13">
        <f>SUMIF('2-Complete Budget'!$B$33:$B$774,"BFB",'2-Complete Budget'!$F$33:$F$774)</f>
        <v>0</v>
      </c>
      <c r="E45" s="13">
        <f>SUMIF('2-Complete Budget'!$B$33:$B$774,"BFB",'2-Complete Budget'!$G$33:$G$774)</f>
        <v>0</v>
      </c>
      <c r="F45" s="13">
        <f>SUMIF('2-Complete Budget'!$B$33:$B$774,"BFB",'2-Complete Budget'!$H$33:$H$774)</f>
        <v>0</v>
      </c>
      <c r="G45" s="13">
        <f t="shared" ref="G45" si="7">SUM(C45:F45)</f>
        <v>476552</v>
      </c>
    </row>
    <row r="46" spans="1:7" ht="15.5" x14ac:dyDescent="0.35">
      <c r="A46" s="3"/>
      <c r="B46" s="101" t="s">
        <v>259</v>
      </c>
      <c r="C46" s="13">
        <f>SUMIF('2-Complete Budget'!$B$33:$B$774,"ABFB",'2-Complete Budget'!$E$33:$E$774)</f>
        <v>0</v>
      </c>
      <c r="D46" s="13">
        <f>SUMIF('2-Complete Budget'!$B$33:$B$774,"ABFB",'2-Complete Budget'!$F$33:$F$774)</f>
        <v>0</v>
      </c>
      <c r="E46" s="13">
        <f>SUMIF('2-Complete Budget'!$B$33:$B$774,"ABFB",'2-Complete Budget'!$G$33:$G$774)</f>
        <v>0</v>
      </c>
      <c r="F46" s="13">
        <f>SUMIF('2-Complete Budget'!$B$33:$B$774,"ABFB",'2-Complete Budget'!$H$33:$H$774)</f>
        <v>0</v>
      </c>
      <c r="G46" s="13">
        <f t="shared" ref="G46" si="8">SUM(C46:F46)</f>
        <v>0</v>
      </c>
    </row>
    <row r="47" spans="1:7" ht="15.5" x14ac:dyDescent="0.35">
      <c r="A47" s="3"/>
      <c r="B47" s="101" t="s">
        <v>260</v>
      </c>
      <c r="C47" s="13">
        <f>SUM(C45:C46)</f>
        <v>476552</v>
      </c>
      <c r="D47" s="13">
        <f>SUM(D45:D46)</f>
        <v>0</v>
      </c>
      <c r="E47" s="13">
        <f>SUM(E45:E46)</f>
        <v>0</v>
      </c>
      <c r="F47" s="13">
        <f>SUM(F45:F46)</f>
        <v>0</v>
      </c>
      <c r="G47" s="13">
        <f t="shared" ref="G47:G49" si="9">SUM(C47:F47)</f>
        <v>476552</v>
      </c>
    </row>
    <row r="48" spans="1:7" ht="15.5" x14ac:dyDescent="0.35">
      <c r="A48" s="3"/>
      <c r="B48" s="12"/>
      <c r="C48" s="3"/>
      <c r="D48" s="3"/>
      <c r="E48" s="3"/>
      <c r="F48" s="3"/>
      <c r="G48" s="3"/>
    </row>
    <row r="49" spans="1:7" ht="15.5" x14ac:dyDescent="0.35">
      <c r="A49" s="3"/>
      <c r="B49" s="101" t="s">
        <v>172</v>
      </c>
      <c r="C49" s="13">
        <f>+C47+C43</f>
        <v>476628</v>
      </c>
      <c r="D49" s="13">
        <f>+D47+D43</f>
        <v>0</v>
      </c>
      <c r="E49" s="13">
        <f>+E47+E43</f>
        <v>0</v>
      </c>
      <c r="F49" s="13">
        <f>+F47+F43</f>
        <v>0</v>
      </c>
      <c r="G49" s="13">
        <f t="shared" si="9"/>
        <v>476628</v>
      </c>
    </row>
  </sheetData>
  <sheetProtection algorithmName="SHA-512" hashValue="XmoJXTgyRUfn9FeGb5gN48XMoQeB2wUJDKgN5u8H7bQ8IuuQI/U406TNer1ldl7hmHWAkg7AIYSAq3yDfC1T9Q==" saltValue="igVO6FkdJkMzhzL94hIBuw==" spinCount="100000" sheet="1" selectLockedCells="1" selectUnlockedCells="1"/>
  <mergeCells count="4">
    <mergeCell ref="A1:G1"/>
    <mergeCell ref="A2:G2"/>
    <mergeCell ref="A15:B15"/>
    <mergeCell ref="A7:B7"/>
  </mergeCells>
  <printOptions horizontalCentered="1"/>
  <pageMargins left="0.2" right="0.2" top="0.75" bottom="0.75" header="0.3" footer="0.3"/>
  <pageSetup scale="80" orientation="portrait" r:id="rId1"/>
  <headerFooter>
    <oddFooter>&amp;L&amp;8 2018-19 Budget Summary By Function&amp;C&amp;8&amp;P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IF51"/>
  <sheetViews>
    <sheetView workbookViewId="0">
      <pane xSplit="4" ySplit="11" topLeftCell="G12" activePane="bottomRight" state="frozen"/>
      <selection activeCell="C271" sqref="C271"/>
      <selection pane="topRight" activeCell="C271" sqref="C271"/>
      <selection pane="bottomLeft" activeCell="C271" sqref="C271"/>
      <selection pane="bottomRight" activeCell="G25" sqref="G25"/>
    </sheetView>
  </sheetViews>
  <sheetFormatPr defaultColWidth="9.26953125" defaultRowHeight="12.75" customHeight="1" x14ac:dyDescent="0.25"/>
  <cols>
    <col min="1" max="1" width="2.7265625" style="108" customWidth="1"/>
    <col min="2" max="2" width="2.26953125" style="108" customWidth="1"/>
    <col min="3" max="3" width="32.453125" style="108" customWidth="1"/>
    <col min="4" max="4" width="10.26953125" style="108" customWidth="1"/>
    <col min="5" max="6" width="11.7265625" style="108" hidden="1" customWidth="1"/>
    <col min="7" max="55" width="11.7265625" style="108" customWidth="1"/>
    <col min="56" max="56" width="13.1796875" style="108" customWidth="1"/>
    <col min="57" max="93" width="11.7265625" style="108" customWidth="1"/>
    <col min="94" max="94" width="13.54296875" style="107" bestFit="1" customWidth="1"/>
    <col min="95" max="95" width="12.7265625" style="108" bestFit="1" customWidth="1"/>
    <col min="96" max="96" width="11.7265625" style="108" customWidth="1"/>
    <col min="97" max="97" width="10.453125" style="108" customWidth="1"/>
    <col min="98" max="98" width="15.81640625" style="108" customWidth="1"/>
    <col min="99" max="99" width="5.7265625" style="108" customWidth="1"/>
    <col min="100" max="100" width="13.7265625" style="108" customWidth="1"/>
    <col min="101" max="113" width="12.453125" style="108" customWidth="1"/>
    <col min="114" max="136" width="9.26953125" style="108"/>
    <col min="137" max="137" width="14.26953125" style="170" bestFit="1" customWidth="1"/>
    <col min="138" max="224" width="9.26953125" style="108"/>
    <col min="225" max="225" width="9.54296875" style="108" bestFit="1" customWidth="1"/>
    <col min="226" max="16384" width="9.26953125" style="108"/>
  </cols>
  <sheetData>
    <row r="1" spans="1:240" ht="12.75" customHeight="1" thickBot="1" x14ac:dyDescent="0.3">
      <c r="A1" s="107" t="s">
        <v>412</v>
      </c>
      <c r="D1" s="289" t="s">
        <v>388</v>
      </c>
      <c r="E1" s="288"/>
      <c r="F1" s="288"/>
      <c r="G1" s="129"/>
      <c r="H1" s="129"/>
      <c r="I1" s="129"/>
      <c r="J1" s="129"/>
      <c r="K1" s="129"/>
      <c r="L1" s="129"/>
      <c r="M1" s="129"/>
      <c r="N1" s="112"/>
      <c r="O1" s="129"/>
      <c r="Q1" s="114"/>
      <c r="R1" s="109"/>
      <c r="S1" s="109"/>
      <c r="T1" s="109"/>
      <c r="U1" s="109"/>
      <c r="V1" s="109"/>
      <c r="W1" s="109"/>
      <c r="X1" s="109"/>
      <c r="Y1" s="109"/>
      <c r="Z1" s="109"/>
      <c r="AA1" s="112"/>
      <c r="AB1" s="111"/>
      <c r="AC1" s="109"/>
      <c r="AD1" s="109"/>
      <c r="AE1" s="112"/>
      <c r="AF1" s="109"/>
      <c r="AG1" s="109"/>
      <c r="AH1" s="109"/>
      <c r="AI1" s="109"/>
      <c r="AJ1" s="109"/>
      <c r="AK1" s="109"/>
      <c r="AL1" s="109"/>
      <c r="AM1" s="109"/>
      <c r="AN1" s="109"/>
      <c r="AO1" s="109"/>
      <c r="AP1" s="109"/>
      <c r="AQ1" s="109"/>
      <c r="AR1" s="109"/>
      <c r="AS1" s="109"/>
      <c r="AT1" s="114"/>
      <c r="AU1" s="110"/>
      <c r="AV1" s="119"/>
      <c r="AW1" s="114"/>
      <c r="AX1" s="109"/>
      <c r="AY1" s="114"/>
      <c r="AZ1" s="114"/>
      <c r="BA1" s="114"/>
      <c r="BB1" s="109"/>
      <c r="BC1" s="114"/>
      <c r="BD1" s="275"/>
      <c r="BF1" s="275"/>
      <c r="BG1" s="275"/>
      <c r="BH1" s="275"/>
      <c r="BI1" s="275"/>
      <c r="BJ1" s="109"/>
      <c r="BK1" s="109"/>
      <c r="BL1" s="109"/>
      <c r="BM1" s="109"/>
      <c r="BN1" s="276"/>
      <c r="BO1" s="109"/>
      <c r="BP1" s="109"/>
      <c r="BQ1" s="109"/>
      <c r="BR1" s="109"/>
      <c r="BS1" s="109"/>
      <c r="BT1" s="109"/>
      <c r="BU1" s="109"/>
      <c r="BV1" s="109"/>
      <c r="BW1" s="109"/>
      <c r="BX1" s="109"/>
      <c r="BY1" s="109"/>
      <c r="BZ1" s="109"/>
      <c r="CA1" s="109"/>
      <c r="CB1" s="109"/>
      <c r="CC1" s="109"/>
      <c r="CD1" s="109"/>
      <c r="CE1" s="109"/>
      <c r="CF1" s="109"/>
      <c r="CG1" s="277"/>
      <c r="CH1" s="112"/>
      <c r="CI1" s="124"/>
      <c r="CJ1" s="112"/>
      <c r="CK1" s="279"/>
      <c r="CL1" s="288"/>
      <c r="CM1" s="110"/>
      <c r="CN1" s="278"/>
      <c r="CO1" s="109"/>
      <c r="CP1" s="109"/>
      <c r="CQ1" s="118"/>
      <c r="CR1" s="279"/>
      <c r="CS1" s="279"/>
      <c r="CT1" s="279"/>
      <c r="CU1" s="279"/>
      <c r="CV1" s="279"/>
      <c r="CW1" s="279"/>
      <c r="CX1" s="279"/>
      <c r="CY1" s="279"/>
      <c r="CZ1" s="279"/>
      <c r="DA1" s="279"/>
      <c r="DB1" s="279"/>
      <c r="DC1" s="279"/>
      <c r="DD1" s="279"/>
      <c r="DE1" s="279"/>
      <c r="DF1" s="279"/>
      <c r="DG1" s="279"/>
      <c r="DH1" s="279"/>
      <c r="DI1" s="279"/>
      <c r="DJ1" s="279"/>
      <c r="DK1" s="279"/>
      <c r="DL1" s="279"/>
      <c r="DM1" s="279"/>
      <c r="DN1" s="279"/>
      <c r="DO1" s="279"/>
      <c r="DP1" s="279"/>
      <c r="DQ1" s="279"/>
      <c r="DR1" s="279"/>
      <c r="DS1" s="279"/>
      <c r="DT1" s="279"/>
      <c r="DU1" s="279"/>
      <c r="DV1" s="279"/>
      <c r="DW1" s="279"/>
      <c r="DX1" s="279"/>
      <c r="DY1" s="279"/>
      <c r="DZ1" s="279"/>
      <c r="EA1" s="279"/>
      <c r="EB1" s="279"/>
      <c r="EC1" s="279"/>
      <c r="ED1" s="279"/>
      <c r="EE1" s="279"/>
      <c r="EF1" s="279"/>
      <c r="EG1" s="279"/>
      <c r="EH1" s="279"/>
      <c r="EI1" s="279"/>
      <c r="EJ1" s="279"/>
      <c r="EK1" s="279"/>
      <c r="EL1" s="279"/>
      <c r="EM1" s="279"/>
      <c r="EN1" s="279"/>
      <c r="EO1" s="279"/>
      <c r="EP1" s="279"/>
      <c r="EQ1" s="279"/>
      <c r="ER1" s="279"/>
      <c r="ES1" s="279"/>
      <c r="ET1" s="279"/>
      <c r="EU1" s="279"/>
      <c r="EV1" s="279"/>
      <c r="EW1" s="279"/>
      <c r="EX1" s="279"/>
      <c r="EY1" s="279"/>
      <c r="EZ1" s="279"/>
      <c r="FA1" s="279"/>
      <c r="FB1" s="279"/>
      <c r="FC1" s="279"/>
      <c r="FD1" s="279"/>
      <c r="FE1" s="279"/>
      <c r="FF1" s="279"/>
      <c r="FG1" s="279"/>
      <c r="FH1" s="279"/>
      <c r="FI1" s="279"/>
      <c r="FJ1" s="279"/>
      <c r="FK1" s="279"/>
      <c r="FL1" s="279"/>
      <c r="FM1" s="279"/>
      <c r="FN1" s="279"/>
      <c r="FO1" s="279"/>
      <c r="FP1" s="279"/>
      <c r="FQ1" s="279"/>
      <c r="FR1" s="279"/>
      <c r="FS1" s="279"/>
      <c r="FT1" s="279"/>
      <c r="FU1" s="279"/>
      <c r="FV1" s="279"/>
      <c r="FW1" s="279"/>
      <c r="FX1" s="279"/>
      <c r="FY1" s="279"/>
      <c r="FZ1" s="279"/>
      <c r="GA1" s="279"/>
      <c r="GB1" s="279"/>
      <c r="GC1" s="279"/>
      <c r="GD1" s="279"/>
      <c r="GE1" s="279"/>
      <c r="GF1" s="279"/>
      <c r="GG1" s="279"/>
      <c r="GH1" s="279"/>
      <c r="GI1" s="279"/>
      <c r="GJ1" s="279"/>
      <c r="GK1" s="279"/>
      <c r="GL1" s="279"/>
      <c r="GM1" s="279"/>
      <c r="GN1" s="279"/>
      <c r="GO1" s="279"/>
      <c r="GP1" s="279"/>
      <c r="GQ1" s="279"/>
      <c r="GR1" s="280"/>
      <c r="GS1" s="280"/>
      <c r="GT1" s="280"/>
      <c r="GU1" s="280"/>
      <c r="GV1" s="280"/>
      <c r="GW1" s="280"/>
      <c r="GX1" s="280"/>
      <c r="GY1" s="280"/>
      <c r="GZ1" s="280"/>
      <c r="HA1" s="280"/>
      <c r="HB1" s="280"/>
      <c r="HC1" s="280"/>
      <c r="HD1" s="280"/>
      <c r="HE1" s="280"/>
    </row>
    <row r="2" spans="1:240" ht="12.75" customHeight="1" x14ac:dyDescent="0.25">
      <c r="A2" s="107"/>
      <c r="B2" s="281"/>
      <c r="C2" s="282"/>
      <c r="D2" s="114"/>
      <c r="E2" s="114"/>
      <c r="F2" s="114"/>
      <c r="G2" s="109"/>
      <c r="H2" s="119"/>
      <c r="I2" s="109"/>
      <c r="J2" s="119"/>
      <c r="M2" s="119"/>
      <c r="N2" s="114"/>
      <c r="O2" s="119"/>
      <c r="P2" s="110"/>
      <c r="Q2" s="114"/>
      <c r="R2" s="119"/>
      <c r="S2" s="119"/>
      <c r="T2" s="119"/>
      <c r="U2" s="119"/>
      <c r="V2" s="119"/>
      <c r="W2" s="119"/>
      <c r="X2" s="119"/>
      <c r="Y2" s="119"/>
      <c r="Z2" s="119"/>
      <c r="AA2" s="114"/>
      <c r="AB2" s="119"/>
      <c r="AC2" s="119"/>
      <c r="AD2" s="119"/>
      <c r="AE2" s="114"/>
      <c r="AF2" s="119"/>
      <c r="AG2" s="119"/>
      <c r="AH2" s="119"/>
      <c r="AI2" s="119"/>
      <c r="AJ2" s="119"/>
      <c r="AK2" s="283"/>
      <c r="AL2" s="291"/>
      <c r="AM2" s="119"/>
      <c r="AN2" s="119"/>
      <c r="AO2" s="119"/>
      <c r="AP2" s="129"/>
      <c r="AQ2" s="119"/>
      <c r="AR2" s="119"/>
      <c r="AS2" s="119"/>
      <c r="AT2" s="114"/>
      <c r="AU2" s="119"/>
      <c r="AV2" s="119"/>
      <c r="AW2" s="114"/>
      <c r="AX2" s="119"/>
      <c r="AY2" s="114"/>
      <c r="AZ2" s="114"/>
      <c r="BA2" s="114"/>
      <c r="BB2" s="119"/>
      <c r="BC2" s="114"/>
      <c r="BD2" s="275"/>
      <c r="BE2" s="275"/>
      <c r="BF2" s="275"/>
      <c r="BG2" s="275"/>
      <c r="BH2" s="275"/>
      <c r="BI2" s="275"/>
      <c r="BJ2" s="275"/>
      <c r="BK2" s="279"/>
      <c r="BL2" s="119"/>
      <c r="BM2" s="119"/>
      <c r="BN2" s="119"/>
      <c r="BO2" s="119"/>
      <c r="BP2" s="119"/>
      <c r="BQ2" s="119"/>
      <c r="BR2" s="119"/>
      <c r="BS2" s="119"/>
      <c r="BT2" s="119"/>
      <c r="BU2" s="119"/>
      <c r="BV2" s="119"/>
      <c r="BW2" s="119"/>
      <c r="BX2" s="119"/>
      <c r="BY2" s="119"/>
      <c r="BZ2" s="119"/>
      <c r="CA2" s="119"/>
      <c r="CB2" s="119"/>
      <c r="CH2" s="119"/>
      <c r="CI2" s="110"/>
      <c r="CJ2" s="119"/>
      <c r="CK2" s="114"/>
      <c r="CL2" s="114"/>
      <c r="CM2" s="110"/>
      <c r="CN2" s="110"/>
      <c r="CP2" s="108"/>
      <c r="CQ2" s="118"/>
      <c r="CR2" s="119"/>
      <c r="CS2" s="119"/>
      <c r="CT2" s="119"/>
      <c r="CU2" s="119"/>
      <c r="CV2" s="119"/>
      <c r="CW2" s="119"/>
      <c r="CX2" s="119"/>
      <c r="CY2" s="119"/>
      <c r="CZ2" s="119"/>
      <c r="DA2" s="119"/>
      <c r="DB2" s="119"/>
      <c r="DC2" s="119"/>
      <c r="DD2" s="119"/>
      <c r="DE2" s="119"/>
      <c r="DF2" s="119"/>
      <c r="DG2" s="119"/>
      <c r="DH2" s="119"/>
      <c r="DI2" s="119"/>
      <c r="DJ2" s="119"/>
      <c r="DK2" s="119"/>
      <c r="DL2" s="119"/>
      <c r="DM2" s="119"/>
      <c r="DN2" s="119"/>
      <c r="DO2" s="119"/>
      <c r="DP2" s="119"/>
      <c r="DQ2" s="119"/>
      <c r="DR2" s="119"/>
      <c r="DS2" s="119"/>
      <c r="DT2" s="119"/>
      <c r="DU2" s="119"/>
      <c r="DV2" s="119"/>
      <c r="DW2" s="119"/>
      <c r="DX2" s="119"/>
      <c r="DY2" s="119"/>
      <c r="DZ2" s="119"/>
      <c r="EA2" s="119"/>
      <c r="EB2" s="119"/>
      <c r="EC2" s="119"/>
      <c r="ED2" s="119"/>
      <c r="EE2" s="119"/>
      <c r="EF2" s="119"/>
      <c r="EG2" s="119"/>
      <c r="EH2" s="119"/>
      <c r="EI2" s="119"/>
      <c r="EJ2" s="119"/>
      <c r="EK2" s="119"/>
      <c r="EL2" s="119"/>
      <c r="EM2" s="119"/>
      <c r="EN2" s="119"/>
      <c r="EO2" s="119"/>
      <c r="EP2" s="119"/>
      <c r="EQ2" s="119"/>
      <c r="ER2" s="119"/>
      <c r="ES2" s="119"/>
      <c r="ET2" s="119"/>
      <c r="EU2" s="119"/>
      <c r="EV2" s="119"/>
      <c r="EW2" s="119"/>
      <c r="EX2" s="119"/>
      <c r="EY2" s="119"/>
      <c r="EZ2" s="119"/>
      <c r="FA2" s="119"/>
      <c r="FB2" s="119"/>
      <c r="FC2" s="119"/>
      <c r="FD2" s="119"/>
      <c r="FE2" s="119"/>
      <c r="FF2" s="119"/>
      <c r="FG2" s="119"/>
      <c r="FH2" s="119"/>
      <c r="FI2" s="119"/>
      <c r="FJ2" s="119"/>
      <c r="FK2" s="119"/>
      <c r="FL2" s="119"/>
      <c r="FM2" s="111"/>
      <c r="FN2" s="119"/>
      <c r="FO2" s="119"/>
      <c r="FP2" s="119"/>
      <c r="FR2" s="119"/>
      <c r="FS2" s="119"/>
      <c r="FT2" s="119"/>
      <c r="FU2" s="119"/>
      <c r="FV2" s="119"/>
      <c r="FW2" s="119"/>
      <c r="FX2" s="119"/>
      <c r="FY2" s="119"/>
      <c r="FZ2" s="119"/>
      <c r="GA2" s="119"/>
      <c r="GB2" s="119"/>
      <c r="GC2" s="119"/>
      <c r="GD2" s="119"/>
      <c r="GE2" s="119"/>
      <c r="GF2" s="119"/>
      <c r="GG2" s="119"/>
      <c r="GH2" s="119"/>
      <c r="GI2" s="119"/>
      <c r="GJ2" s="119"/>
      <c r="GK2" s="119"/>
      <c r="GL2" s="119"/>
      <c r="GM2" s="119"/>
      <c r="GN2" s="119"/>
      <c r="GO2" s="119"/>
      <c r="GP2" s="119"/>
      <c r="GR2" s="119"/>
      <c r="GS2" s="119"/>
      <c r="GT2" s="119"/>
      <c r="GU2" s="119"/>
      <c r="GV2" s="119"/>
      <c r="GW2" s="119"/>
      <c r="GX2" s="119"/>
      <c r="GY2" s="119"/>
      <c r="GZ2" s="119"/>
      <c r="HA2" s="119"/>
      <c r="HB2" s="119"/>
      <c r="HC2" s="119"/>
      <c r="HD2" s="119"/>
      <c r="HE2" s="119"/>
      <c r="HF2" s="119"/>
      <c r="HG2" s="119"/>
      <c r="HH2" s="119"/>
      <c r="HI2" s="119"/>
      <c r="HJ2" s="119"/>
      <c r="HK2" s="119"/>
      <c r="HL2" s="119"/>
      <c r="HM2" s="119"/>
      <c r="HN2" s="119"/>
      <c r="HO2" s="119"/>
      <c r="HP2" s="119"/>
      <c r="HQ2" s="119"/>
      <c r="HR2" s="119"/>
      <c r="HS2" s="119"/>
      <c r="HT2" s="119"/>
      <c r="HU2" s="119"/>
      <c r="HV2" s="280"/>
      <c r="HW2" s="280"/>
      <c r="HX2" s="280"/>
      <c r="HY2" s="280"/>
      <c r="HZ2" s="280"/>
      <c r="IA2" s="280"/>
    </row>
    <row r="3" spans="1:240" ht="9.75" hidden="1" customHeight="1" x14ac:dyDescent="0.25">
      <c r="A3" s="120"/>
      <c r="E3" s="109"/>
      <c r="F3" s="109"/>
      <c r="G3" s="109"/>
      <c r="H3" s="109"/>
      <c r="I3" s="109"/>
      <c r="J3" s="109"/>
      <c r="K3" s="109"/>
      <c r="L3" s="109"/>
      <c r="M3" s="109"/>
      <c r="N3" s="109"/>
      <c r="O3" s="109"/>
      <c r="P3" s="109"/>
      <c r="Q3" s="110"/>
      <c r="R3" s="109"/>
      <c r="S3" s="109"/>
      <c r="T3" s="109"/>
      <c r="U3" s="109"/>
      <c r="V3" s="109"/>
      <c r="W3" s="109"/>
      <c r="X3" s="109"/>
      <c r="Y3" s="109"/>
      <c r="Z3" s="109"/>
      <c r="AA3" s="109"/>
      <c r="AB3" s="109"/>
      <c r="AC3" s="119"/>
      <c r="AD3" s="109"/>
      <c r="AE3" s="109"/>
      <c r="AF3" s="109"/>
      <c r="AG3" s="109"/>
      <c r="AH3" s="109"/>
      <c r="AI3" s="109"/>
      <c r="AJ3" s="109"/>
      <c r="AK3" s="109"/>
      <c r="AL3" s="109"/>
      <c r="AM3" s="109"/>
      <c r="AN3" s="109"/>
      <c r="AO3" s="109"/>
      <c r="AP3" s="121"/>
      <c r="AQ3" s="109"/>
      <c r="AR3" s="121"/>
      <c r="AS3" s="109"/>
      <c r="AT3" s="109"/>
      <c r="AU3" s="109"/>
      <c r="AV3" s="109"/>
      <c r="AW3" s="109"/>
      <c r="AX3" s="109"/>
      <c r="AY3" s="109"/>
      <c r="AZ3" s="109"/>
      <c r="BA3" s="109"/>
      <c r="BB3" s="109"/>
      <c r="BC3" s="121"/>
      <c r="BD3" s="121"/>
      <c r="BE3" s="109"/>
      <c r="BF3" s="121"/>
      <c r="BG3" s="121"/>
      <c r="BH3" s="121"/>
      <c r="BI3" s="121"/>
      <c r="BJ3" s="109"/>
      <c r="BK3" s="109"/>
      <c r="BL3" s="109"/>
      <c r="BM3" s="109"/>
      <c r="BN3" s="109"/>
      <c r="BO3" s="109"/>
      <c r="BP3" s="109"/>
      <c r="BQ3" s="109"/>
      <c r="BR3" s="109"/>
      <c r="BS3" s="109"/>
      <c r="BT3" s="109"/>
      <c r="BU3" s="109"/>
      <c r="BV3" s="109"/>
      <c r="BW3" s="109"/>
      <c r="BX3" s="109"/>
      <c r="BY3" s="109"/>
      <c r="BZ3" s="109"/>
      <c r="CA3" s="109"/>
      <c r="CB3" s="109"/>
      <c r="CC3" s="109"/>
      <c r="CD3" s="109"/>
      <c r="CE3" s="109"/>
      <c r="CF3" s="112"/>
      <c r="CG3" s="109"/>
      <c r="CH3" s="110"/>
      <c r="CI3" s="109"/>
      <c r="CJ3" s="110"/>
      <c r="CK3" s="121"/>
      <c r="CL3" s="109"/>
      <c r="CM3" s="110"/>
      <c r="CN3" s="121"/>
      <c r="CO3" s="121"/>
      <c r="CQ3" s="121"/>
      <c r="CR3" s="121"/>
      <c r="CS3" s="121"/>
      <c r="CT3" s="121"/>
      <c r="CU3" s="121"/>
      <c r="CV3" s="121"/>
      <c r="CW3" s="121"/>
      <c r="CX3" s="121"/>
      <c r="CY3" s="121"/>
      <c r="CZ3" s="121"/>
      <c r="DA3" s="121"/>
      <c r="DB3" s="121"/>
      <c r="DC3" s="121"/>
      <c r="DD3" s="121"/>
      <c r="DE3" s="121"/>
      <c r="DF3" s="121"/>
      <c r="DG3" s="121"/>
      <c r="DH3" s="121"/>
      <c r="DI3" s="121"/>
      <c r="DJ3" s="121"/>
      <c r="DK3" s="121"/>
      <c r="DL3" s="121"/>
      <c r="DM3" s="121"/>
      <c r="DN3" s="121"/>
      <c r="DO3" s="121"/>
      <c r="DP3" s="121"/>
      <c r="DQ3" s="121"/>
      <c r="DR3" s="121"/>
      <c r="DS3" s="121"/>
      <c r="DT3" s="119"/>
      <c r="DU3" s="119"/>
      <c r="DV3" s="109"/>
      <c r="DW3" s="109"/>
      <c r="DX3" s="109"/>
      <c r="DY3" s="119"/>
      <c r="DZ3" s="119"/>
      <c r="EA3" s="119"/>
      <c r="EB3" s="119"/>
      <c r="EC3" s="119"/>
      <c r="ED3" s="119"/>
      <c r="EE3" s="119"/>
      <c r="EF3" s="119"/>
      <c r="EG3" s="119"/>
      <c r="EH3" s="109"/>
      <c r="EI3" s="119"/>
      <c r="EJ3" s="119"/>
      <c r="EK3" s="119"/>
      <c r="EL3" s="109"/>
      <c r="EM3" s="109"/>
      <c r="EN3" s="119"/>
      <c r="EO3" s="119"/>
      <c r="EP3" s="119"/>
      <c r="EQ3" s="109"/>
      <c r="ER3" s="119"/>
      <c r="ES3" s="119"/>
      <c r="ET3" s="109"/>
      <c r="EU3" s="119"/>
      <c r="EV3" s="109"/>
      <c r="EW3" s="119"/>
      <c r="EX3" s="109"/>
      <c r="EY3" s="119"/>
      <c r="EZ3" s="109"/>
      <c r="FA3" s="109"/>
      <c r="FB3" s="119"/>
      <c r="FC3" s="119"/>
      <c r="FD3" s="109"/>
      <c r="FE3" s="109"/>
      <c r="FF3" s="109"/>
      <c r="FG3" s="109"/>
      <c r="FH3" s="109"/>
      <c r="FI3" s="109"/>
      <c r="FJ3" s="109"/>
      <c r="FK3" s="109"/>
      <c r="FL3" s="109"/>
      <c r="FM3" s="109"/>
      <c r="FN3" s="109"/>
      <c r="FO3" s="109"/>
      <c r="FP3" s="109"/>
      <c r="FQ3" s="109"/>
      <c r="FR3" s="109"/>
      <c r="FS3" s="109"/>
      <c r="FT3" s="109"/>
      <c r="FU3" s="109"/>
      <c r="FV3" s="109"/>
      <c r="FW3" s="109"/>
      <c r="FX3" s="109"/>
      <c r="FY3" s="109"/>
      <c r="FZ3" s="109"/>
      <c r="GA3" s="109"/>
      <c r="GB3" s="109"/>
      <c r="GC3" s="109"/>
      <c r="GD3" s="109"/>
      <c r="GE3" s="109"/>
      <c r="GF3" s="109"/>
      <c r="GG3" s="109"/>
      <c r="GH3" s="109"/>
      <c r="GI3" s="109"/>
      <c r="GJ3" s="109"/>
      <c r="GK3" s="109"/>
      <c r="GL3" s="109"/>
      <c r="GM3" s="109"/>
      <c r="GN3" s="109"/>
      <c r="GO3" s="109"/>
      <c r="GP3" s="109"/>
      <c r="GR3" s="109"/>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09"/>
      <c r="IA3" s="109"/>
      <c r="IB3" s="109"/>
      <c r="IC3" s="109"/>
      <c r="ID3" s="109"/>
      <c r="IE3" s="109"/>
      <c r="IF3" s="109"/>
    </row>
    <row r="4" spans="1:240" ht="15.75" hidden="1" customHeight="1" x14ac:dyDescent="0.25">
      <c r="A4" s="123"/>
      <c r="E4" s="109"/>
      <c r="F4" s="109"/>
      <c r="G4" s="109"/>
      <c r="H4" s="109"/>
      <c r="I4" s="119"/>
      <c r="J4" s="109"/>
      <c r="K4" s="109"/>
      <c r="L4" s="109"/>
      <c r="M4" s="109"/>
      <c r="N4" s="112"/>
      <c r="O4" s="121"/>
      <c r="P4" s="109"/>
      <c r="Q4" s="124"/>
      <c r="CK4" s="119"/>
      <c r="CL4" s="109"/>
      <c r="CP4" s="118"/>
      <c r="CQ4" s="109"/>
      <c r="CR4" s="119"/>
      <c r="CS4" s="119"/>
      <c r="CT4" s="119"/>
      <c r="CU4" s="119"/>
      <c r="CV4" s="119"/>
      <c r="CW4" s="119"/>
      <c r="CX4" s="119"/>
      <c r="CY4" s="119"/>
      <c r="CZ4" s="119"/>
      <c r="DA4" s="119"/>
      <c r="DB4" s="119"/>
      <c r="DC4" s="119"/>
      <c r="DD4" s="119"/>
      <c r="DE4" s="119"/>
      <c r="DF4" s="119"/>
      <c r="DG4" s="119"/>
      <c r="DH4" s="119"/>
      <c r="DI4" s="119"/>
      <c r="DJ4" s="119"/>
      <c r="DK4" s="119"/>
      <c r="DL4" s="119"/>
      <c r="DM4" s="119"/>
      <c r="DN4" s="119"/>
      <c r="DO4" s="119"/>
      <c r="DP4" s="119"/>
      <c r="DQ4" s="119"/>
      <c r="DR4" s="119"/>
      <c r="DS4" s="119"/>
      <c r="DT4" s="119"/>
      <c r="DU4" s="119"/>
      <c r="DV4" s="119"/>
      <c r="DW4" s="119"/>
      <c r="DX4" s="119"/>
      <c r="DY4" s="119"/>
      <c r="DZ4" s="119"/>
      <c r="EA4" s="119"/>
      <c r="EB4" s="119"/>
      <c r="EC4" s="119"/>
      <c r="ED4" s="119"/>
      <c r="EE4" s="119"/>
      <c r="EF4" s="119"/>
      <c r="EG4" s="119"/>
      <c r="EH4" s="119"/>
      <c r="EI4" s="119"/>
      <c r="EJ4" s="125"/>
      <c r="EK4" s="125"/>
      <c r="EL4" s="125"/>
      <c r="EM4" s="125"/>
      <c r="EN4" s="125"/>
      <c r="EO4" s="125"/>
      <c r="EP4" s="125"/>
      <c r="EQ4" s="125"/>
      <c r="ER4" s="125"/>
      <c r="ES4" s="125"/>
      <c r="ET4" s="125"/>
      <c r="EU4" s="119"/>
      <c r="EV4" s="119"/>
      <c r="EW4" s="119"/>
      <c r="EX4" s="119"/>
      <c r="EY4" s="119"/>
      <c r="EZ4" s="119"/>
      <c r="FA4" s="119"/>
      <c r="FB4" s="119"/>
      <c r="FC4" s="119"/>
      <c r="FD4" s="119"/>
      <c r="FE4" s="119"/>
      <c r="FF4" s="119"/>
      <c r="FG4" s="119"/>
      <c r="FH4" s="119"/>
      <c r="FI4" s="119"/>
      <c r="FJ4" s="119"/>
      <c r="FK4" s="119"/>
      <c r="FL4" s="119"/>
      <c r="FM4" s="119"/>
      <c r="FN4" s="119"/>
      <c r="FO4" s="119"/>
      <c r="FP4" s="119"/>
      <c r="FQ4" s="119"/>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C4" s="127"/>
      <c r="ID4" s="126"/>
    </row>
    <row r="5" spans="1:240" ht="14.25" hidden="1" customHeight="1" x14ac:dyDescent="0.25">
      <c r="A5" s="128"/>
      <c r="E5" s="111"/>
      <c r="F5" s="111"/>
      <c r="G5" s="111"/>
      <c r="H5" s="111"/>
      <c r="I5" s="111"/>
      <c r="J5" s="111"/>
      <c r="K5" s="111"/>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c r="BD5" s="111"/>
      <c r="BE5" s="111"/>
      <c r="BF5" s="111"/>
      <c r="BG5" s="111"/>
      <c r="BH5" s="111"/>
      <c r="BI5" s="111"/>
      <c r="BJ5" s="111"/>
      <c r="BK5" s="111"/>
      <c r="BL5" s="111"/>
      <c r="BM5" s="111"/>
      <c r="BN5" s="111"/>
      <c r="BO5" s="111"/>
      <c r="BP5" s="111"/>
      <c r="BQ5" s="111"/>
      <c r="BR5" s="111"/>
      <c r="BS5" s="111"/>
      <c r="BT5" s="111"/>
      <c r="BU5" s="111"/>
      <c r="BV5" s="111"/>
      <c r="BW5" s="111"/>
      <c r="BX5" s="111"/>
      <c r="BY5" s="111"/>
      <c r="BZ5" s="111"/>
      <c r="CA5" s="111"/>
      <c r="CB5" s="111"/>
      <c r="CC5" s="111"/>
      <c r="CD5" s="111"/>
      <c r="CE5" s="111"/>
      <c r="CF5" s="111"/>
      <c r="CG5" s="111"/>
      <c r="CH5" s="111"/>
      <c r="CI5" s="111"/>
      <c r="CJ5" s="114"/>
      <c r="CK5" s="119"/>
      <c r="CL5" s="111"/>
      <c r="CN5" s="111"/>
      <c r="CO5" s="111"/>
      <c r="CQ5" s="119"/>
      <c r="CR5" s="119"/>
      <c r="CS5" s="119"/>
      <c r="CT5" s="119"/>
      <c r="CU5" s="119"/>
      <c r="CV5" s="119"/>
      <c r="CW5" s="129"/>
      <c r="CX5" s="129"/>
      <c r="CY5" s="129"/>
      <c r="CZ5" s="129"/>
      <c r="DA5" s="129"/>
      <c r="DB5" s="129"/>
      <c r="DC5" s="129"/>
      <c r="DD5" s="113"/>
      <c r="DE5" s="113"/>
      <c r="DF5" s="113"/>
      <c r="DG5" s="113"/>
      <c r="DH5" s="113"/>
      <c r="DI5" s="113"/>
      <c r="DJ5" s="113"/>
      <c r="DK5" s="113"/>
      <c r="DL5" s="113"/>
      <c r="DM5" s="113"/>
      <c r="DN5" s="113"/>
      <c r="DO5" s="113"/>
      <c r="DP5" s="113"/>
      <c r="DQ5" s="113"/>
      <c r="DR5" s="113"/>
      <c r="DS5" s="113"/>
      <c r="DT5" s="113"/>
      <c r="DU5" s="113"/>
      <c r="DV5" s="113"/>
      <c r="DW5" s="113"/>
      <c r="DX5" s="113"/>
      <c r="DY5" s="113"/>
      <c r="EA5" s="119"/>
      <c r="ED5" s="129"/>
      <c r="EF5" s="129"/>
      <c r="EG5" s="129"/>
      <c r="EH5" s="129"/>
      <c r="EI5" s="126"/>
      <c r="EJ5" s="129"/>
      <c r="EK5" s="129"/>
      <c r="EL5" s="129"/>
      <c r="EO5" s="119"/>
      <c r="EP5" s="119"/>
      <c r="GI5" s="130"/>
    </row>
    <row r="6" spans="1:240" ht="18.75" hidden="1" customHeight="1" x14ac:dyDescent="0.25">
      <c r="A6" s="13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1"/>
      <c r="AK6" s="111"/>
      <c r="AL6" s="111"/>
      <c r="AM6" s="111"/>
      <c r="AN6" s="111"/>
      <c r="AO6" s="111"/>
      <c r="AP6" s="111"/>
      <c r="AQ6" s="111"/>
      <c r="AR6" s="111"/>
      <c r="AS6" s="111"/>
      <c r="AT6" s="111"/>
      <c r="AU6" s="111"/>
      <c r="AV6" s="111"/>
      <c r="AW6" s="111"/>
      <c r="AX6" s="111"/>
      <c r="AY6" s="111"/>
      <c r="AZ6" s="111"/>
      <c r="BB6" s="111"/>
      <c r="BC6" s="110"/>
      <c r="BD6" s="110"/>
      <c r="BE6" s="111"/>
      <c r="BF6" s="110"/>
      <c r="BG6" s="110"/>
      <c r="BH6" s="110"/>
      <c r="BI6" s="110"/>
      <c r="BJ6" s="111"/>
      <c r="BK6" s="111"/>
      <c r="BL6" s="111"/>
      <c r="BM6" s="111"/>
      <c r="BN6" s="111"/>
      <c r="BO6" s="111"/>
      <c r="BP6" s="111"/>
      <c r="BQ6" s="111"/>
      <c r="BR6" s="111"/>
      <c r="BS6" s="111"/>
      <c r="BT6" s="111"/>
      <c r="BU6" s="111"/>
      <c r="BV6" s="111"/>
      <c r="BW6" s="111"/>
      <c r="BX6" s="111"/>
      <c r="BY6" s="111"/>
      <c r="BZ6" s="111"/>
      <c r="CA6" s="111"/>
      <c r="CB6" s="111"/>
      <c r="CC6" s="111"/>
      <c r="CD6" s="111"/>
      <c r="CE6" s="111"/>
      <c r="CG6" s="111"/>
      <c r="CH6" s="111"/>
      <c r="CI6" s="111"/>
      <c r="CJ6" s="110"/>
      <c r="CK6" s="110"/>
      <c r="CL6" s="111"/>
      <c r="CM6" s="110"/>
      <c r="CN6" s="110"/>
      <c r="CO6" s="110"/>
      <c r="CQ6" s="110"/>
      <c r="CR6" s="110"/>
      <c r="CS6" s="132"/>
      <c r="CT6" s="110"/>
      <c r="CU6" s="110"/>
      <c r="CV6" s="110"/>
      <c r="CW6" s="110"/>
      <c r="CX6" s="110"/>
      <c r="CY6" s="110"/>
      <c r="CZ6" s="110"/>
      <c r="EG6" s="108"/>
      <c r="EP6" s="130"/>
    </row>
    <row r="7" spans="1:240" ht="43.5" hidden="1" customHeight="1" thickBot="1" x14ac:dyDescent="0.3">
      <c r="A7" s="133"/>
      <c r="N7" s="114"/>
      <c r="Q7" s="119"/>
      <c r="S7" s="110"/>
      <c r="T7" s="110"/>
      <c r="V7" s="134"/>
      <c r="AF7" s="110"/>
      <c r="BE7" s="134"/>
      <c r="BM7" s="135"/>
      <c r="BT7" s="134"/>
      <c r="CG7" s="114"/>
      <c r="CH7" s="119"/>
      <c r="CI7" s="114"/>
      <c r="EE7" s="130"/>
      <c r="EG7" s="108"/>
    </row>
    <row r="8" spans="1:240" ht="30" hidden="1" customHeight="1" thickTop="1" x14ac:dyDescent="0.25">
      <c r="C8" s="245"/>
      <c r="D8" s="136"/>
      <c r="E8" s="246"/>
      <c r="F8" s="246"/>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7"/>
      <c r="AU8" s="137"/>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L8" s="246"/>
      <c r="CM8" s="137"/>
      <c r="CN8" s="137"/>
      <c r="CO8" s="137"/>
      <c r="CP8" s="129"/>
      <c r="CS8" s="129"/>
      <c r="CT8" s="139"/>
      <c r="EF8" s="130"/>
      <c r="EG8" s="108"/>
    </row>
    <row r="9" spans="1:240" ht="12.75" customHeight="1" x14ac:dyDescent="0.25">
      <c r="A9" s="140"/>
      <c r="C9" s="141"/>
      <c r="D9" s="136" t="s">
        <v>261</v>
      </c>
      <c r="E9" s="247"/>
      <c r="F9" s="247"/>
      <c r="G9" s="142" t="s">
        <v>262</v>
      </c>
      <c r="H9" s="142" t="s">
        <v>263</v>
      </c>
      <c r="I9" s="143" t="s">
        <v>262</v>
      </c>
      <c r="J9" s="119" t="s">
        <v>264</v>
      </c>
      <c r="K9" s="119" t="s">
        <v>11</v>
      </c>
      <c r="L9" s="143" t="s">
        <v>11</v>
      </c>
      <c r="M9" s="143" t="s">
        <v>11</v>
      </c>
      <c r="N9" s="143" t="s">
        <v>262</v>
      </c>
      <c r="O9" s="119" t="s">
        <v>262</v>
      </c>
      <c r="P9" s="119" t="s">
        <v>263</v>
      </c>
      <c r="Q9" s="144" t="s">
        <v>262</v>
      </c>
      <c r="R9" s="119" t="s">
        <v>262</v>
      </c>
      <c r="S9" s="119" t="s">
        <v>264</v>
      </c>
      <c r="T9" s="119" t="s">
        <v>262</v>
      </c>
      <c r="U9" s="119" t="s">
        <v>262</v>
      </c>
      <c r="V9" s="119" t="s">
        <v>262</v>
      </c>
      <c r="W9" s="143" t="s">
        <v>11</v>
      </c>
      <c r="X9" s="119" t="s">
        <v>265</v>
      </c>
      <c r="Y9" s="143" t="s">
        <v>262</v>
      </c>
      <c r="Z9" s="119" t="s">
        <v>264</v>
      </c>
      <c r="AA9" s="119" t="s">
        <v>262</v>
      </c>
      <c r="AB9" s="119" t="s">
        <v>266</v>
      </c>
      <c r="AC9" s="143" t="s">
        <v>262</v>
      </c>
      <c r="AD9" s="119" t="s">
        <v>262</v>
      </c>
      <c r="AE9" s="143" t="s">
        <v>262</v>
      </c>
      <c r="AF9" s="119" t="s">
        <v>262</v>
      </c>
      <c r="AG9" s="143" t="s">
        <v>262</v>
      </c>
      <c r="AH9" s="143" t="s">
        <v>264</v>
      </c>
      <c r="AI9" s="119" t="s">
        <v>262</v>
      </c>
      <c r="AJ9" s="143" t="s">
        <v>262</v>
      </c>
      <c r="AK9" s="143" t="s">
        <v>264</v>
      </c>
      <c r="AL9" s="143" t="s">
        <v>262</v>
      </c>
      <c r="AM9" s="119" t="s">
        <v>11</v>
      </c>
      <c r="AN9" s="119" t="s">
        <v>263</v>
      </c>
      <c r="AO9" s="119" t="s">
        <v>267</v>
      </c>
      <c r="AP9" s="143" t="s">
        <v>262</v>
      </c>
      <c r="AQ9" s="142" t="s">
        <v>264</v>
      </c>
      <c r="AR9" s="143" t="s">
        <v>267</v>
      </c>
      <c r="AS9" s="119" t="s">
        <v>264</v>
      </c>
      <c r="AT9" s="142" t="s">
        <v>264</v>
      </c>
      <c r="AU9" s="119" t="s">
        <v>267</v>
      </c>
      <c r="AV9" s="119" t="s">
        <v>263</v>
      </c>
      <c r="AW9" s="119" t="s">
        <v>264</v>
      </c>
      <c r="AX9" s="119" t="s">
        <v>264</v>
      </c>
      <c r="AY9" s="119" t="s">
        <v>264</v>
      </c>
      <c r="AZ9" s="119" t="s">
        <v>264</v>
      </c>
      <c r="BA9" s="119" t="s">
        <v>267</v>
      </c>
      <c r="BB9" s="119" t="s">
        <v>11</v>
      </c>
      <c r="BC9" s="145" t="s">
        <v>264</v>
      </c>
      <c r="BD9" s="145" t="s">
        <v>263</v>
      </c>
      <c r="BE9" s="119" t="s">
        <v>11</v>
      </c>
      <c r="BF9" s="145" t="s">
        <v>11</v>
      </c>
      <c r="BG9" s="145" t="s">
        <v>11</v>
      </c>
      <c r="BH9" s="145" t="s">
        <v>11</v>
      </c>
      <c r="BI9" s="145" t="s">
        <v>262</v>
      </c>
      <c r="BJ9" s="119" t="s">
        <v>264</v>
      </c>
      <c r="BK9" s="119" t="s">
        <v>264</v>
      </c>
      <c r="BL9" s="119" t="s">
        <v>264</v>
      </c>
      <c r="BM9" s="119" t="s">
        <v>264</v>
      </c>
      <c r="BN9" s="119" t="s">
        <v>266</v>
      </c>
      <c r="BO9" s="119" t="s">
        <v>263</v>
      </c>
      <c r="BP9" s="145" t="s">
        <v>264</v>
      </c>
      <c r="BQ9" s="119" t="s">
        <v>263</v>
      </c>
      <c r="BR9" s="143" t="s">
        <v>263</v>
      </c>
      <c r="BS9" s="119" t="s">
        <v>267</v>
      </c>
      <c r="BT9" s="119" t="s">
        <v>264</v>
      </c>
      <c r="BU9" s="119" t="s">
        <v>264</v>
      </c>
      <c r="BV9" s="119" t="s">
        <v>268</v>
      </c>
      <c r="BW9" s="119" t="s">
        <v>262</v>
      </c>
      <c r="BX9" s="119" t="s">
        <v>11</v>
      </c>
      <c r="BY9" s="143" t="s">
        <v>264</v>
      </c>
      <c r="BZ9" s="119" t="s">
        <v>264</v>
      </c>
      <c r="CA9" s="119" t="s">
        <v>263</v>
      </c>
      <c r="CB9" s="119" t="s">
        <v>262</v>
      </c>
      <c r="CC9" s="119" t="s">
        <v>262</v>
      </c>
      <c r="CD9" s="119" t="s">
        <v>263</v>
      </c>
      <c r="CE9" s="143" t="s">
        <v>267</v>
      </c>
      <c r="CF9" s="119" t="s">
        <v>263</v>
      </c>
      <c r="CG9" s="143" t="s">
        <v>262</v>
      </c>
      <c r="CH9" s="119" t="s">
        <v>262</v>
      </c>
      <c r="CI9" s="143" t="s">
        <v>263</v>
      </c>
      <c r="CJ9" s="144" t="s">
        <v>11</v>
      </c>
      <c r="CK9" s="305" t="s">
        <v>11</v>
      </c>
      <c r="CL9" s="142" t="s">
        <v>263</v>
      </c>
      <c r="CM9" s="119" t="s">
        <v>262</v>
      </c>
      <c r="CN9" s="143" t="s">
        <v>264</v>
      </c>
      <c r="CO9" s="145" t="s">
        <v>269</v>
      </c>
      <c r="CP9" s="129" t="s">
        <v>264</v>
      </c>
      <c r="CQ9" s="129" t="s">
        <v>264</v>
      </c>
      <c r="CR9" s="108" t="s">
        <v>11</v>
      </c>
      <c r="CT9" s="146"/>
      <c r="EG9" s="147"/>
    </row>
    <row r="10" spans="1:240" ht="45.75" customHeight="1" x14ac:dyDescent="0.2">
      <c r="C10" s="261"/>
      <c r="D10" s="148" t="s">
        <v>270</v>
      </c>
      <c r="E10" s="248" t="s">
        <v>294</v>
      </c>
      <c r="F10" s="248" t="s">
        <v>295</v>
      </c>
      <c r="G10" s="149" t="s">
        <v>316</v>
      </c>
      <c r="H10" s="149" t="s">
        <v>317</v>
      </c>
      <c r="I10" s="149" t="s">
        <v>318</v>
      </c>
      <c r="J10" s="149" t="s">
        <v>319</v>
      </c>
      <c r="K10" s="149" t="s">
        <v>320</v>
      </c>
      <c r="L10" s="149" t="s">
        <v>321</v>
      </c>
      <c r="M10" s="149" t="s">
        <v>322</v>
      </c>
      <c r="N10" s="149" t="s">
        <v>323</v>
      </c>
      <c r="O10" s="149" t="s">
        <v>324</v>
      </c>
      <c r="P10" s="149" t="s">
        <v>325</v>
      </c>
      <c r="Q10" s="149" t="s">
        <v>230</v>
      </c>
      <c r="R10" s="149" t="s">
        <v>326</v>
      </c>
      <c r="S10" s="149" t="s">
        <v>327</v>
      </c>
      <c r="T10" s="149" t="s">
        <v>395</v>
      </c>
      <c r="U10" s="149" t="s">
        <v>328</v>
      </c>
      <c r="V10" s="149" t="s">
        <v>329</v>
      </c>
      <c r="W10" s="149" t="s">
        <v>389</v>
      </c>
      <c r="X10" s="149" t="s">
        <v>331</v>
      </c>
      <c r="Y10" s="149" t="s">
        <v>332</v>
      </c>
      <c r="Z10" s="149" t="s">
        <v>333</v>
      </c>
      <c r="AA10" s="149" t="s">
        <v>390</v>
      </c>
      <c r="AB10" s="149" t="s">
        <v>231</v>
      </c>
      <c r="AC10" s="149" t="s">
        <v>335</v>
      </c>
      <c r="AD10" s="149" t="s">
        <v>336</v>
      </c>
      <c r="AE10" s="149" t="s">
        <v>337</v>
      </c>
      <c r="AF10" s="149" t="s">
        <v>338</v>
      </c>
      <c r="AG10" s="149" t="s">
        <v>339</v>
      </c>
      <c r="AH10" s="149" t="s">
        <v>232</v>
      </c>
      <c r="AI10" s="149" t="s">
        <v>340</v>
      </c>
      <c r="AJ10" s="149" t="s">
        <v>341</v>
      </c>
      <c r="AK10" s="149" t="s">
        <v>342</v>
      </c>
      <c r="AL10" s="149" t="s">
        <v>391</v>
      </c>
      <c r="AM10" s="149" t="s">
        <v>343</v>
      </c>
      <c r="AN10" s="149" t="s">
        <v>344</v>
      </c>
      <c r="AO10" s="149" t="s">
        <v>345</v>
      </c>
      <c r="AP10" s="149" t="s">
        <v>346</v>
      </c>
      <c r="AQ10" s="149" t="s">
        <v>233</v>
      </c>
      <c r="AR10" s="149" t="s">
        <v>234</v>
      </c>
      <c r="AS10" s="149" t="s">
        <v>235</v>
      </c>
      <c r="AT10" s="149" t="s">
        <v>347</v>
      </c>
      <c r="AU10" s="149" t="s">
        <v>392</v>
      </c>
      <c r="AV10" s="149" t="s">
        <v>349</v>
      </c>
      <c r="AW10" s="149" t="s">
        <v>350</v>
      </c>
      <c r="AX10" s="149" t="s">
        <v>351</v>
      </c>
      <c r="AY10" s="149" t="s">
        <v>352</v>
      </c>
      <c r="AZ10" s="149" t="s">
        <v>236</v>
      </c>
      <c r="BA10" s="149" t="s">
        <v>353</v>
      </c>
      <c r="BB10" s="149" t="s">
        <v>227</v>
      </c>
      <c r="BC10" s="149" t="s">
        <v>354</v>
      </c>
      <c r="BD10" s="149" t="s">
        <v>355</v>
      </c>
      <c r="BE10" s="149" t="s">
        <v>356</v>
      </c>
      <c r="BF10" s="149" t="s">
        <v>357</v>
      </c>
      <c r="BG10" s="149" t="s">
        <v>358</v>
      </c>
      <c r="BH10" s="149" t="s">
        <v>237</v>
      </c>
      <c r="BI10" s="149" t="s">
        <v>359</v>
      </c>
      <c r="BJ10" s="149" t="s">
        <v>360</v>
      </c>
      <c r="BK10" s="149" t="s">
        <v>361</v>
      </c>
      <c r="BL10" s="149" t="s">
        <v>362</v>
      </c>
      <c r="BM10" s="149" t="s">
        <v>363</v>
      </c>
      <c r="BN10" s="149" t="s">
        <v>364</v>
      </c>
      <c r="BO10" s="149" t="s">
        <v>238</v>
      </c>
      <c r="BP10" s="149" t="s">
        <v>271</v>
      </c>
      <c r="BQ10" s="149" t="s">
        <v>366</v>
      </c>
      <c r="BR10" s="149" t="s">
        <v>367</v>
      </c>
      <c r="BS10" s="149" t="s">
        <v>239</v>
      </c>
      <c r="BT10" s="149" t="s">
        <v>393</v>
      </c>
      <c r="BU10" s="149" t="s">
        <v>369</v>
      </c>
      <c r="BV10" s="149" t="s">
        <v>370</v>
      </c>
      <c r="BW10" s="149" t="s">
        <v>371</v>
      </c>
      <c r="BX10" s="149" t="s">
        <v>372</v>
      </c>
      <c r="BY10" s="149" t="s">
        <v>313</v>
      </c>
      <c r="BZ10" s="149" t="s">
        <v>373</v>
      </c>
      <c r="CA10" s="149" t="s">
        <v>374</v>
      </c>
      <c r="CB10" s="149" t="s">
        <v>375</v>
      </c>
      <c r="CC10" s="149" t="s">
        <v>376</v>
      </c>
      <c r="CD10" s="149" t="s">
        <v>314</v>
      </c>
      <c r="CE10" s="149" t="s">
        <v>378</v>
      </c>
      <c r="CF10" s="149" t="s">
        <v>394</v>
      </c>
      <c r="CG10" s="149" t="s">
        <v>380</v>
      </c>
      <c r="CH10" s="149" t="s">
        <v>315</v>
      </c>
      <c r="CI10" s="149" t="s">
        <v>382</v>
      </c>
      <c r="CJ10" s="149" t="s">
        <v>383</v>
      </c>
      <c r="CK10" s="290" t="s">
        <v>397</v>
      </c>
      <c r="CL10" s="290" t="s">
        <v>396</v>
      </c>
      <c r="CM10" s="149" t="s">
        <v>384</v>
      </c>
      <c r="CN10" s="149" t="s">
        <v>385</v>
      </c>
      <c r="CO10" s="149" t="s">
        <v>240</v>
      </c>
      <c r="CP10" s="149" t="s">
        <v>241</v>
      </c>
      <c r="CQ10" s="149" t="s">
        <v>242</v>
      </c>
      <c r="CR10" s="149" t="s">
        <v>386</v>
      </c>
      <c r="CS10" s="119" t="s">
        <v>7</v>
      </c>
      <c r="EG10" s="150"/>
    </row>
    <row r="11" spans="1:240" ht="12.75" customHeight="1" x14ac:dyDescent="0.25">
      <c r="A11" s="151"/>
      <c r="B11" s="151"/>
      <c r="C11" s="151"/>
      <c r="D11" s="152" t="s">
        <v>272</v>
      </c>
      <c r="E11" s="249">
        <v>0</v>
      </c>
      <c r="F11" s="249">
        <v>1</v>
      </c>
      <c r="G11" s="115">
        <v>5001</v>
      </c>
      <c r="H11" s="115">
        <v>5002</v>
      </c>
      <c r="I11" s="115">
        <v>5003</v>
      </c>
      <c r="J11" s="115">
        <v>5004</v>
      </c>
      <c r="K11" s="115">
        <v>5006</v>
      </c>
      <c r="L11" s="115">
        <v>5007</v>
      </c>
      <c r="M11" s="115">
        <v>5009</v>
      </c>
      <c r="N11" s="115">
        <v>5010</v>
      </c>
      <c r="O11" s="115">
        <v>5012</v>
      </c>
      <c r="P11" s="115">
        <v>5014</v>
      </c>
      <c r="Q11" s="116">
        <v>5015</v>
      </c>
      <c r="R11" s="115">
        <v>5020</v>
      </c>
      <c r="S11" s="115">
        <v>5021</v>
      </c>
      <c r="T11" s="115">
        <v>5022</v>
      </c>
      <c r="U11" s="115">
        <v>5023</v>
      </c>
      <c r="V11" s="115">
        <v>5024</v>
      </c>
      <c r="W11" s="115">
        <v>5028</v>
      </c>
      <c r="X11" s="115">
        <v>5029</v>
      </c>
      <c r="Y11" s="115">
        <v>5030</v>
      </c>
      <c r="Z11" s="115">
        <v>5031</v>
      </c>
      <c r="AA11" s="115">
        <v>5037</v>
      </c>
      <c r="AB11" s="115">
        <v>5038</v>
      </c>
      <c r="AC11" s="116">
        <v>5041</v>
      </c>
      <c r="AD11" s="115">
        <v>5044</v>
      </c>
      <c r="AE11" s="115">
        <v>5046</v>
      </c>
      <c r="AF11" s="115">
        <v>5048</v>
      </c>
      <c r="AG11" s="115">
        <v>5049</v>
      </c>
      <c r="AH11" s="115">
        <v>5051</v>
      </c>
      <c r="AI11" s="115">
        <v>5052</v>
      </c>
      <c r="AJ11" s="115">
        <v>5053</v>
      </c>
      <c r="AK11" s="115">
        <v>5054</v>
      </c>
      <c r="AL11" s="115">
        <v>5056</v>
      </c>
      <c r="AM11" s="115">
        <v>5060</v>
      </c>
      <c r="AN11" s="115">
        <v>5081</v>
      </c>
      <c r="AO11" s="115">
        <v>5091</v>
      </c>
      <c r="AP11" s="115">
        <v>5111</v>
      </c>
      <c r="AQ11" s="115">
        <v>5116</v>
      </c>
      <c r="AR11" s="115">
        <v>5121</v>
      </c>
      <c r="AS11" s="115">
        <v>5130</v>
      </c>
      <c r="AT11" s="115">
        <v>5141</v>
      </c>
      <c r="AU11" s="115">
        <v>5142</v>
      </c>
      <c r="AV11" s="115">
        <v>5151</v>
      </c>
      <c r="AW11" s="115">
        <v>5161</v>
      </c>
      <c r="AX11" s="115">
        <v>5164</v>
      </c>
      <c r="AY11" s="115">
        <v>5171</v>
      </c>
      <c r="AZ11" s="115">
        <v>5177</v>
      </c>
      <c r="BA11" s="115">
        <v>5182</v>
      </c>
      <c r="BB11" s="115">
        <v>5209</v>
      </c>
      <c r="BC11" s="115">
        <v>5211</v>
      </c>
      <c r="BD11" s="115">
        <v>5215</v>
      </c>
      <c r="BE11" s="115">
        <v>5219</v>
      </c>
      <c r="BF11" s="115">
        <v>5221</v>
      </c>
      <c r="BG11" s="115">
        <v>5224</v>
      </c>
      <c r="BH11" s="115">
        <v>5233</v>
      </c>
      <c r="BI11" s="115">
        <v>5234</v>
      </c>
      <c r="BJ11" s="115">
        <v>5263</v>
      </c>
      <c r="BK11" s="115">
        <v>5271</v>
      </c>
      <c r="BL11" s="115">
        <v>5320</v>
      </c>
      <c r="BM11" s="115">
        <v>5325</v>
      </c>
      <c r="BN11" s="115">
        <v>5355</v>
      </c>
      <c r="BO11" s="115">
        <v>5356</v>
      </c>
      <c r="BP11" s="115">
        <v>5361</v>
      </c>
      <c r="BQ11" s="115">
        <v>5362</v>
      </c>
      <c r="BR11" s="115">
        <v>5371</v>
      </c>
      <c r="BS11" s="115">
        <v>5381</v>
      </c>
      <c r="BT11" s="115">
        <v>5387</v>
      </c>
      <c r="BU11" s="115">
        <v>5388</v>
      </c>
      <c r="BV11" s="115">
        <v>5391</v>
      </c>
      <c r="BW11" s="117">
        <v>5392</v>
      </c>
      <c r="BX11" s="117">
        <v>5396</v>
      </c>
      <c r="BY11" s="115">
        <v>5400</v>
      </c>
      <c r="BZ11" s="115">
        <v>5405</v>
      </c>
      <c r="CA11" s="115">
        <v>5406</v>
      </c>
      <c r="CB11" s="115">
        <v>5407</v>
      </c>
      <c r="CC11" s="115">
        <v>5410</v>
      </c>
      <c r="CD11" s="115">
        <v>5413</v>
      </c>
      <c r="CE11" s="115">
        <v>5416</v>
      </c>
      <c r="CF11" s="115">
        <v>5419</v>
      </c>
      <c r="CG11" s="115">
        <v>5420</v>
      </c>
      <c r="CH11" s="115">
        <v>5422</v>
      </c>
      <c r="CI11" s="115">
        <v>5441</v>
      </c>
      <c r="CJ11" s="115">
        <v>5481</v>
      </c>
      <c r="CK11" s="119">
        <v>5555</v>
      </c>
      <c r="CL11" s="149">
        <v>5556</v>
      </c>
      <c r="CM11" s="115">
        <v>5710</v>
      </c>
      <c r="CN11" s="115">
        <v>5717</v>
      </c>
      <c r="CO11" s="115">
        <v>5791</v>
      </c>
      <c r="CP11" s="115">
        <v>5801</v>
      </c>
      <c r="CQ11" s="127">
        <v>5852</v>
      </c>
      <c r="CR11" s="119">
        <v>5861</v>
      </c>
      <c r="CS11" s="108">
        <f>COUNT(G11:CR11)</f>
        <v>90</v>
      </c>
      <c r="EG11" s="153"/>
    </row>
    <row r="12" spans="1:240" ht="12.75" customHeight="1" x14ac:dyDescent="0.25">
      <c r="A12" s="154"/>
      <c r="B12" s="154"/>
      <c r="C12" s="154"/>
      <c r="D12" s="119"/>
      <c r="E12" s="250"/>
      <c r="F12" s="250"/>
      <c r="T12" s="285"/>
      <c r="AG12" s="126"/>
      <c r="AH12" s="126"/>
      <c r="AK12" s="126"/>
      <c r="BC12" s="114"/>
      <c r="BD12" s="114"/>
      <c r="BF12" s="114"/>
      <c r="BG12" s="114"/>
      <c r="BH12" s="114"/>
      <c r="BI12" s="138"/>
      <c r="BK12" s="129"/>
      <c r="BR12" s="126"/>
      <c r="BW12" s="156"/>
      <c r="BX12" s="156"/>
      <c r="CK12" s="155"/>
      <c r="CL12" s="155"/>
      <c r="EG12" s="150"/>
    </row>
    <row r="13" spans="1:240" ht="12.75" customHeight="1" x14ac:dyDescent="0.25">
      <c r="A13" s="140"/>
      <c r="D13" s="136"/>
      <c r="E13" s="251"/>
      <c r="F13" s="251"/>
      <c r="G13" s="142"/>
      <c r="H13" s="142"/>
      <c r="I13" s="143"/>
      <c r="J13" s="119"/>
      <c r="K13" s="119"/>
      <c r="L13" s="143"/>
      <c r="M13" s="143"/>
      <c r="N13" s="143"/>
      <c r="O13" s="119"/>
      <c r="P13" s="119"/>
      <c r="Q13" s="144"/>
      <c r="R13" s="119"/>
      <c r="S13" s="119"/>
      <c r="T13" s="119"/>
      <c r="U13" s="119"/>
      <c r="V13" s="119"/>
      <c r="W13" s="143"/>
      <c r="X13" s="119"/>
      <c r="Y13" s="143"/>
      <c r="Z13" s="119"/>
      <c r="AA13" s="119"/>
      <c r="AB13" s="119"/>
      <c r="AC13" s="143"/>
      <c r="AD13" s="119"/>
      <c r="AE13" s="143"/>
      <c r="AF13" s="119"/>
      <c r="AG13" s="143"/>
      <c r="AH13" s="143"/>
      <c r="AI13" s="119"/>
      <c r="AJ13" s="143"/>
      <c r="AK13" s="143"/>
      <c r="AL13" s="143"/>
      <c r="AM13" s="119"/>
      <c r="AN13" s="119"/>
      <c r="AO13" s="119"/>
      <c r="AP13" s="143"/>
      <c r="AQ13" s="142"/>
      <c r="AR13" s="143"/>
      <c r="AS13" s="119"/>
      <c r="AT13" s="142"/>
      <c r="AU13" s="119"/>
      <c r="AV13" s="119"/>
      <c r="AW13" s="119"/>
      <c r="AX13" s="119"/>
      <c r="AY13" s="119"/>
      <c r="AZ13" s="119"/>
      <c r="BA13" s="119"/>
      <c r="BB13" s="119"/>
      <c r="BC13" s="145"/>
      <c r="BD13" s="145"/>
      <c r="BE13" s="119"/>
      <c r="BF13" s="145"/>
      <c r="BG13" s="145"/>
      <c r="BH13" s="145"/>
      <c r="BI13" s="145"/>
      <c r="BJ13" s="119"/>
      <c r="BK13" s="119"/>
      <c r="BL13" s="119"/>
      <c r="BM13" s="119"/>
      <c r="BN13" s="119"/>
      <c r="BO13" s="119"/>
      <c r="BP13" s="119"/>
      <c r="BQ13" s="119"/>
      <c r="BR13" s="143"/>
      <c r="BS13" s="119"/>
      <c r="BT13" s="119"/>
      <c r="BU13" s="119"/>
      <c r="BV13" s="119"/>
      <c r="BW13" s="119"/>
      <c r="BX13" s="119"/>
      <c r="BY13" s="143"/>
      <c r="BZ13" s="119"/>
      <c r="CA13" s="119"/>
      <c r="CB13" s="119"/>
      <c r="CC13" s="119"/>
      <c r="CD13" s="119"/>
      <c r="CE13" s="143"/>
      <c r="CF13" s="119"/>
      <c r="CG13" s="143"/>
      <c r="CH13" s="119"/>
      <c r="CI13" s="143"/>
      <c r="CJ13" s="144"/>
      <c r="CL13" s="303"/>
      <c r="CM13" s="119"/>
      <c r="CN13" s="143"/>
      <c r="CO13" s="145"/>
      <c r="CP13" s="138"/>
      <c r="CQ13" s="129"/>
      <c r="EG13" s="147"/>
    </row>
    <row r="14" spans="1:240" ht="12.75" customHeight="1" x14ac:dyDescent="0.3">
      <c r="A14" s="157" t="s">
        <v>290</v>
      </c>
      <c r="B14" s="158"/>
      <c r="C14" s="158"/>
      <c r="D14" s="154"/>
      <c r="E14" s="252"/>
      <c r="F14" s="252"/>
      <c r="G14" s="162"/>
      <c r="H14" s="162"/>
      <c r="I14" s="162"/>
      <c r="J14" s="162"/>
      <c r="K14" s="163"/>
      <c r="L14" s="162"/>
      <c r="M14" s="162"/>
      <c r="N14" s="162"/>
      <c r="O14" s="162"/>
      <c r="P14" s="162"/>
      <c r="Q14" s="162"/>
      <c r="R14" s="162"/>
      <c r="S14" s="162"/>
      <c r="T14" s="162"/>
      <c r="U14" s="162"/>
      <c r="V14" s="162"/>
      <c r="W14" s="162"/>
      <c r="X14" s="162"/>
      <c r="Y14" s="162"/>
      <c r="Z14" s="162"/>
      <c r="AA14" s="162"/>
      <c r="AB14" s="162"/>
      <c r="AC14" s="162"/>
      <c r="AD14" s="162"/>
      <c r="AE14" s="162"/>
      <c r="AF14" s="162"/>
      <c r="AG14" s="164"/>
      <c r="AH14" s="164"/>
      <c r="AI14" s="162"/>
      <c r="AJ14" s="162"/>
      <c r="AK14" s="164"/>
      <c r="AL14" s="164"/>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4"/>
      <c r="BS14" s="162"/>
      <c r="BT14" s="162"/>
      <c r="BU14" s="162"/>
      <c r="BV14" s="162"/>
      <c r="BW14" s="162"/>
      <c r="BX14" s="165"/>
      <c r="BY14" s="162"/>
      <c r="BZ14" s="162"/>
      <c r="CA14" s="162"/>
      <c r="CB14" s="162"/>
      <c r="CC14" s="162"/>
      <c r="CD14" s="162"/>
      <c r="CE14" s="162"/>
      <c r="CF14" s="162"/>
      <c r="CG14" s="162"/>
      <c r="CH14" s="162"/>
      <c r="CI14" s="162"/>
      <c r="CJ14" s="162"/>
      <c r="CK14" s="129"/>
      <c r="CL14" s="304"/>
      <c r="CM14" s="162"/>
      <c r="CN14" s="162"/>
      <c r="CO14" s="162"/>
      <c r="CP14" s="161"/>
      <c r="CQ14" s="129"/>
      <c r="CR14" s="129"/>
      <c r="EG14" s="153"/>
    </row>
    <row r="15" spans="1:240" ht="12.75" customHeight="1" x14ac:dyDescent="0.25">
      <c r="C15" s="159" t="s">
        <v>1</v>
      </c>
      <c r="D15" s="115" t="s">
        <v>273</v>
      </c>
      <c r="E15" s="253"/>
      <c r="F15" s="253"/>
      <c r="G15" s="166"/>
      <c r="H15" s="166"/>
      <c r="I15" s="166"/>
      <c r="J15" s="166"/>
      <c r="K15" s="166"/>
      <c r="L15" s="166"/>
      <c r="M15" s="166"/>
      <c r="N15" s="167"/>
      <c r="O15" s="166"/>
      <c r="P15" s="166"/>
      <c r="Q15" s="166"/>
      <c r="R15" s="166"/>
      <c r="S15" s="166"/>
      <c r="T15" s="166"/>
      <c r="U15" s="166"/>
      <c r="V15" s="166"/>
      <c r="W15" s="166"/>
      <c r="X15" s="166"/>
      <c r="Y15" s="167"/>
      <c r="Z15" s="166"/>
      <c r="AA15" s="166"/>
      <c r="AB15" s="166"/>
      <c r="AC15" s="166"/>
      <c r="AD15" s="166"/>
      <c r="AE15" s="167"/>
      <c r="AF15" s="166"/>
      <c r="AG15" s="167"/>
      <c r="AH15" s="167"/>
      <c r="AI15" s="166"/>
      <c r="AJ15" s="167"/>
      <c r="AK15" s="167"/>
      <c r="AL15" s="167"/>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7"/>
      <c r="BS15" s="166"/>
      <c r="BT15" s="166"/>
      <c r="BU15" s="166"/>
      <c r="BV15" s="166"/>
      <c r="BW15" s="166"/>
      <c r="BX15" s="168"/>
      <c r="BY15" s="167"/>
      <c r="BZ15" s="166"/>
      <c r="CA15" s="166"/>
      <c r="CB15" s="166"/>
      <c r="CC15" s="166"/>
      <c r="CD15" s="166"/>
      <c r="CE15" s="167"/>
      <c r="CF15" s="166"/>
      <c r="CG15" s="166"/>
      <c r="CH15" s="166"/>
      <c r="CI15" s="167"/>
      <c r="CJ15" s="167"/>
      <c r="CK15" s="134"/>
      <c r="CL15" s="169"/>
      <c r="CM15" s="166"/>
      <c r="CN15" s="166"/>
      <c r="CO15" s="166"/>
      <c r="CP15" s="161"/>
      <c r="CQ15" s="129"/>
      <c r="CR15" s="134"/>
      <c r="CS15" s="274"/>
      <c r="EG15" s="153"/>
    </row>
    <row r="16" spans="1:240" ht="12.75" customHeight="1" x14ac:dyDescent="0.2">
      <c r="C16" s="108" t="s">
        <v>274</v>
      </c>
      <c r="D16" s="119">
        <v>101</v>
      </c>
      <c r="E16" s="287"/>
      <c r="F16" s="287">
        <v>10</v>
      </c>
      <c r="G16" s="302">
        <v>128</v>
      </c>
      <c r="H16" s="302">
        <v>0</v>
      </c>
      <c r="I16" s="302">
        <v>190.62</v>
      </c>
      <c r="J16" s="302">
        <v>0</v>
      </c>
      <c r="K16" s="302">
        <v>0</v>
      </c>
      <c r="L16" s="302"/>
      <c r="M16" s="302">
        <v>0</v>
      </c>
      <c r="N16" s="302">
        <v>457</v>
      </c>
      <c r="O16" s="302">
        <v>490</v>
      </c>
      <c r="P16" s="302">
        <v>0</v>
      </c>
      <c r="Q16" s="302">
        <v>320</v>
      </c>
      <c r="R16" s="302">
        <v>580</v>
      </c>
      <c r="S16" s="302">
        <v>277.86</v>
      </c>
      <c r="T16" s="302"/>
      <c r="U16" s="302">
        <v>420.21</v>
      </c>
      <c r="V16" s="302">
        <v>439</v>
      </c>
      <c r="W16" s="302">
        <v>0</v>
      </c>
      <c r="X16" s="302">
        <v>75</v>
      </c>
      <c r="Y16" s="302">
        <v>210</v>
      </c>
      <c r="Z16" s="302">
        <v>181</v>
      </c>
      <c r="AA16" s="302">
        <v>455</v>
      </c>
      <c r="AB16" s="302">
        <v>118</v>
      </c>
      <c r="AC16" s="302">
        <v>425</v>
      </c>
      <c r="AD16" s="302">
        <v>154</v>
      </c>
      <c r="AE16" s="302">
        <v>288</v>
      </c>
      <c r="AF16" s="302">
        <v>527.80999999999995</v>
      </c>
      <c r="AG16" s="302">
        <v>464.77</v>
      </c>
      <c r="AH16" s="302">
        <v>1053</v>
      </c>
      <c r="AI16" s="302">
        <v>271.5</v>
      </c>
      <c r="AJ16" s="302">
        <v>0</v>
      </c>
      <c r="AK16" s="302">
        <v>143</v>
      </c>
      <c r="AL16" s="302">
        <v>403.82</v>
      </c>
      <c r="AM16" s="302">
        <v>0</v>
      </c>
      <c r="AN16" s="302">
        <v>0</v>
      </c>
      <c r="AO16" s="302">
        <v>0</v>
      </c>
      <c r="AP16" s="302">
        <v>188</v>
      </c>
      <c r="AQ16" s="302">
        <v>216</v>
      </c>
      <c r="AR16" s="302"/>
      <c r="AS16" s="302">
        <v>114</v>
      </c>
      <c r="AT16" s="302">
        <v>333.29</v>
      </c>
      <c r="AU16" s="302"/>
      <c r="AV16" s="302">
        <v>0</v>
      </c>
      <c r="AW16" s="302">
        <v>352</v>
      </c>
      <c r="AX16" s="302">
        <v>84</v>
      </c>
      <c r="AY16" s="302">
        <v>190.23</v>
      </c>
      <c r="AZ16" s="302">
        <v>116</v>
      </c>
      <c r="BA16" s="302">
        <v>0</v>
      </c>
      <c r="BB16" s="302">
        <v>0</v>
      </c>
      <c r="BC16" s="302">
        <v>56</v>
      </c>
      <c r="BD16" s="302">
        <v>0</v>
      </c>
      <c r="BE16" s="302">
        <v>0</v>
      </c>
      <c r="BF16" s="302">
        <v>0</v>
      </c>
      <c r="BG16" s="302">
        <v>0</v>
      </c>
      <c r="BH16" s="302">
        <v>0</v>
      </c>
      <c r="BI16" s="302">
        <v>120</v>
      </c>
      <c r="BJ16" s="302">
        <v>171.84</v>
      </c>
      <c r="BK16" s="302">
        <v>226</v>
      </c>
      <c r="BL16" s="302">
        <v>208</v>
      </c>
      <c r="BM16" s="302">
        <v>490</v>
      </c>
      <c r="BN16" s="302">
        <v>105</v>
      </c>
      <c r="BO16" s="302">
        <v>0</v>
      </c>
      <c r="BP16" s="302">
        <v>161</v>
      </c>
      <c r="BQ16" s="302">
        <v>0</v>
      </c>
      <c r="BR16" s="302">
        <v>0</v>
      </c>
      <c r="BS16" s="302">
        <v>0</v>
      </c>
      <c r="BT16" s="302">
        <v>219.8</v>
      </c>
      <c r="BU16" s="302">
        <v>54</v>
      </c>
      <c r="BV16" s="302">
        <v>104.74</v>
      </c>
      <c r="BW16" s="302">
        <v>77</v>
      </c>
      <c r="BX16" s="302">
        <v>0</v>
      </c>
      <c r="BY16" s="302">
        <v>101</v>
      </c>
      <c r="BZ16" s="302">
        <v>238</v>
      </c>
      <c r="CA16" s="302">
        <v>0</v>
      </c>
      <c r="CB16" s="302">
        <v>51</v>
      </c>
      <c r="CC16" s="302">
        <v>134</v>
      </c>
      <c r="CD16" s="302">
        <v>0</v>
      </c>
      <c r="CE16" s="302">
        <v>0</v>
      </c>
      <c r="CF16" s="302">
        <v>0</v>
      </c>
      <c r="CG16" s="302">
        <v>142</v>
      </c>
      <c r="CH16" s="302">
        <v>125</v>
      </c>
      <c r="CI16" s="302"/>
      <c r="CJ16" s="302">
        <v>0</v>
      </c>
      <c r="CK16" s="302">
        <v>0</v>
      </c>
      <c r="CL16" s="302">
        <v>0</v>
      </c>
      <c r="CM16" s="302">
        <v>643</v>
      </c>
      <c r="CN16" s="302">
        <v>78</v>
      </c>
      <c r="CO16" s="302">
        <v>0</v>
      </c>
      <c r="CP16" s="302">
        <v>46</v>
      </c>
      <c r="CQ16" s="302">
        <v>40</v>
      </c>
      <c r="CR16" s="302">
        <v>0</v>
      </c>
      <c r="CS16" s="284">
        <f t="shared" ref="CS16:CS31" si="0">SUM(G16:CR16)</f>
        <v>13257.49</v>
      </c>
      <c r="EB16" s="170"/>
      <c r="EG16" s="108"/>
    </row>
    <row r="17" spans="1:225" ht="12.75" customHeight="1" x14ac:dyDescent="0.2">
      <c r="C17" s="108" t="s">
        <v>275</v>
      </c>
      <c r="D17" s="119">
        <v>102</v>
      </c>
      <c r="E17" s="287"/>
      <c r="F17" s="287">
        <v>20</v>
      </c>
      <c r="G17" s="302">
        <v>40</v>
      </c>
      <c r="H17" s="302">
        <v>115.98</v>
      </c>
      <c r="I17" s="302">
        <v>371.5</v>
      </c>
      <c r="J17" s="302">
        <v>115.98</v>
      </c>
      <c r="K17" s="302">
        <v>0</v>
      </c>
      <c r="L17" s="302"/>
      <c r="M17" s="302">
        <v>0</v>
      </c>
      <c r="N17" s="302">
        <v>663</v>
      </c>
      <c r="O17" s="302">
        <v>685</v>
      </c>
      <c r="P17" s="302">
        <v>450</v>
      </c>
      <c r="Q17" s="302">
        <v>212</v>
      </c>
      <c r="R17" s="302">
        <v>602</v>
      </c>
      <c r="S17" s="302">
        <v>148.09</v>
      </c>
      <c r="T17" s="302">
        <v>110</v>
      </c>
      <c r="U17" s="302">
        <v>505.23</v>
      </c>
      <c r="V17" s="302">
        <v>365</v>
      </c>
      <c r="W17" s="302">
        <v>0</v>
      </c>
      <c r="X17" s="302">
        <v>0</v>
      </c>
      <c r="Y17" s="302">
        <v>107</v>
      </c>
      <c r="Z17" s="302">
        <v>66</v>
      </c>
      <c r="AA17" s="302">
        <v>625</v>
      </c>
      <c r="AB17" s="302">
        <v>140</v>
      </c>
      <c r="AC17" s="302">
        <v>575</v>
      </c>
      <c r="AD17" s="302">
        <v>183</v>
      </c>
      <c r="AE17" s="302">
        <v>588</v>
      </c>
      <c r="AF17" s="302">
        <v>701.11</v>
      </c>
      <c r="AG17" s="302">
        <v>582.91999999999996</v>
      </c>
      <c r="AH17" s="302">
        <v>536</v>
      </c>
      <c r="AI17" s="302">
        <v>365</v>
      </c>
      <c r="AJ17" s="302">
        <v>0</v>
      </c>
      <c r="AK17" s="302">
        <v>52</v>
      </c>
      <c r="AL17" s="302">
        <v>420.44</v>
      </c>
      <c r="AM17" s="302">
        <v>0</v>
      </c>
      <c r="AN17" s="302">
        <v>1106</v>
      </c>
      <c r="AO17" s="302">
        <v>629</v>
      </c>
      <c r="AP17" s="302">
        <v>456</v>
      </c>
      <c r="AQ17" s="302">
        <v>96</v>
      </c>
      <c r="AR17" s="302">
        <v>206</v>
      </c>
      <c r="AS17" s="302">
        <v>110</v>
      </c>
      <c r="AT17" s="302">
        <v>194.23</v>
      </c>
      <c r="AU17" s="302"/>
      <c r="AV17" s="302">
        <v>860.3</v>
      </c>
      <c r="AW17" s="302">
        <v>188</v>
      </c>
      <c r="AX17" s="302">
        <v>40</v>
      </c>
      <c r="AY17" s="302">
        <v>91.02</v>
      </c>
      <c r="AZ17" s="302">
        <v>82</v>
      </c>
      <c r="BA17" s="302">
        <v>77</v>
      </c>
      <c r="BB17" s="302">
        <v>0</v>
      </c>
      <c r="BC17" s="302">
        <v>62</v>
      </c>
      <c r="BD17" s="302">
        <v>197</v>
      </c>
      <c r="BE17" s="302">
        <v>0</v>
      </c>
      <c r="BF17" s="302"/>
      <c r="BG17" s="302"/>
      <c r="BH17" s="302">
        <v>0</v>
      </c>
      <c r="BI17" s="302">
        <v>144</v>
      </c>
      <c r="BJ17" s="302">
        <v>140.07</v>
      </c>
      <c r="BK17" s="302">
        <v>95</v>
      </c>
      <c r="BL17" s="302">
        <v>155</v>
      </c>
      <c r="BM17" s="302">
        <v>298</v>
      </c>
      <c r="BN17" s="302">
        <v>142</v>
      </c>
      <c r="BO17" s="302">
        <v>44</v>
      </c>
      <c r="BP17" s="302">
        <v>86</v>
      </c>
      <c r="BQ17" s="302">
        <v>407</v>
      </c>
      <c r="BR17" s="302">
        <v>309</v>
      </c>
      <c r="BS17" s="302">
        <v>96</v>
      </c>
      <c r="BT17" s="302">
        <v>115.06</v>
      </c>
      <c r="BU17" s="302">
        <v>31</v>
      </c>
      <c r="BV17" s="302">
        <v>66</v>
      </c>
      <c r="BW17" s="302">
        <v>65</v>
      </c>
      <c r="BX17" s="302">
        <v>0</v>
      </c>
      <c r="BY17" s="302">
        <v>49</v>
      </c>
      <c r="BZ17" s="302">
        <v>165</v>
      </c>
      <c r="CA17" s="302">
        <v>382</v>
      </c>
      <c r="CB17" s="302">
        <v>72</v>
      </c>
      <c r="CC17" s="302">
        <v>88</v>
      </c>
      <c r="CD17" s="302">
        <v>268</v>
      </c>
      <c r="CE17" s="302">
        <v>36</v>
      </c>
      <c r="CF17" s="302">
        <v>217.13</v>
      </c>
      <c r="CG17" s="302">
        <v>180</v>
      </c>
      <c r="CH17" s="302">
        <v>215</v>
      </c>
      <c r="CI17" s="302">
        <v>312.48</v>
      </c>
      <c r="CJ17" s="302">
        <v>0</v>
      </c>
      <c r="CK17" s="302">
        <v>0</v>
      </c>
      <c r="CL17" s="302">
        <v>229.96</v>
      </c>
      <c r="CM17" s="302">
        <v>322</v>
      </c>
      <c r="CN17" s="302">
        <v>44</v>
      </c>
      <c r="CO17" s="302">
        <v>373</v>
      </c>
      <c r="CP17" s="302">
        <v>22</v>
      </c>
      <c r="CQ17" s="302">
        <v>40</v>
      </c>
      <c r="CR17" s="302">
        <v>0</v>
      </c>
      <c r="CS17" s="284">
        <f t="shared" si="0"/>
        <v>18928.5</v>
      </c>
      <c r="EB17" s="170"/>
      <c r="EG17" s="108"/>
    </row>
    <row r="18" spans="1:225" ht="12.75" customHeight="1" x14ac:dyDescent="0.2">
      <c r="C18" s="108" t="s">
        <v>276</v>
      </c>
      <c r="D18" s="119">
        <v>103</v>
      </c>
      <c r="E18" s="287"/>
      <c r="F18" s="287">
        <v>20</v>
      </c>
      <c r="G18" s="302">
        <v>0</v>
      </c>
      <c r="H18" s="302">
        <v>0</v>
      </c>
      <c r="I18" s="302">
        <v>0</v>
      </c>
      <c r="J18" s="302">
        <v>0</v>
      </c>
      <c r="K18" s="302">
        <v>305.91000000000003</v>
      </c>
      <c r="L18" s="302">
        <v>237.76</v>
      </c>
      <c r="M18" s="302">
        <v>304.5</v>
      </c>
      <c r="N18" s="302">
        <v>0</v>
      </c>
      <c r="O18" s="302">
        <v>0</v>
      </c>
      <c r="P18" s="302">
        <v>0</v>
      </c>
      <c r="Q18" s="302"/>
      <c r="R18" s="302">
        <v>0</v>
      </c>
      <c r="S18" s="302">
        <v>0</v>
      </c>
      <c r="T18" s="302">
        <v>0</v>
      </c>
      <c r="U18" s="302">
        <v>0</v>
      </c>
      <c r="V18" s="302">
        <v>0</v>
      </c>
      <c r="W18" s="302">
        <v>190</v>
      </c>
      <c r="X18" s="302">
        <v>0</v>
      </c>
      <c r="Y18" s="302">
        <v>0</v>
      </c>
      <c r="Z18" s="302">
        <v>0</v>
      </c>
      <c r="AA18" s="302">
        <v>0</v>
      </c>
      <c r="AB18" s="302">
        <v>0</v>
      </c>
      <c r="AC18" s="302">
        <v>0</v>
      </c>
      <c r="AD18" s="302">
        <v>0</v>
      </c>
      <c r="AE18" s="302">
        <v>0</v>
      </c>
      <c r="AF18" s="302">
        <v>0</v>
      </c>
      <c r="AG18" s="302">
        <v>0</v>
      </c>
      <c r="AH18" s="302">
        <v>0</v>
      </c>
      <c r="AI18" s="302">
        <v>0</v>
      </c>
      <c r="AJ18" s="302">
        <v>216</v>
      </c>
      <c r="AK18" s="302">
        <v>0</v>
      </c>
      <c r="AL18" s="302">
        <v>0</v>
      </c>
      <c r="AM18" s="302">
        <v>255.9</v>
      </c>
      <c r="AN18" s="302">
        <v>0</v>
      </c>
      <c r="AO18" s="302">
        <v>664</v>
      </c>
      <c r="AP18" s="302">
        <v>0</v>
      </c>
      <c r="AQ18" s="302">
        <v>0</v>
      </c>
      <c r="AR18" s="302">
        <v>1383</v>
      </c>
      <c r="AS18" s="302">
        <v>0</v>
      </c>
      <c r="AT18" s="302">
        <v>0</v>
      </c>
      <c r="AU18" s="302">
        <v>1095</v>
      </c>
      <c r="AV18" s="302"/>
      <c r="AW18" s="302">
        <v>0</v>
      </c>
      <c r="AX18" s="302">
        <v>0</v>
      </c>
      <c r="AY18" s="302">
        <v>0</v>
      </c>
      <c r="AZ18" s="302"/>
      <c r="BA18" s="302">
        <v>0</v>
      </c>
      <c r="BB18" s="302">
        <v>176</v>
      </c>
      <c r="BC18" s="302">
        <v>0</v>
      </c>
      <c r="BD18" s="302">
        <v>0</v>
      </c>
      <c r="BE18" s="302">
        <v>165</v>
      </c>
      <c r="BF18" s="302">
        <v>1150.6099999999999</v>
      </c>
      <c r="BG18" s="302">
        <v>255</v>
      </c>
      <c r="BH18" s="302">
        <v>200</v>
      </c>
      <c r="BI18" s="302">
        <v>0</v>
      </c>
      <c r="BJ18" s="302">
        <v>0</v>
      </c>
      <c r="BK18" s="302">
        <v>0</v>
      </c>
      <c r="BL18" s="302">
        <v>0</v>
      </c>
      <c r="BM18" s="302">
        <v>0</v>
      </c>
      <c r="BN18" s="302">
        <v>0</v>
      </c>
      <c r="BO18" s="302">
        <v>0</v>
      </c>
      <c r="BP18" s="302">
        <v>0</v>
      </c>
      <c r="BQ18" s="302">
        <v>0</v>
      </c>
      <c r="BR18" s="302">
        <v>0</v>
      </c>
      <c r="BS18" s="302">
        <v>0</v>
      </c>
      <c r="BT18" s="302">
        <v>0</v>
      </c>
      <c r="BU18" s="302">
        <v>0</v>
      </c>
      <c r="BV18" s="302">
        <v>0</v>
      </c>
      <c r="BW18" s="302">
        <v>0</v>
      </c>
      <c r="BX18" s="302">
        <v>311.62</v>
      </c>
      <c r="BY18" s="302">
        <v>0</v>
      </c>
      <c r="BZ18" s="302">
        <v>0</v>
      </c>
      <c r="CA18" s="302">
        <v>0</v>
      </c>
      <c r="CB18" s="302">
        <v>0</v>
      </c>
      <c r="CC18" s="302">
        <v>0</v>
      </c>
      <c r="CD18" s="302">
        <v>0</v>
      </c>
      <c r="CE18" s="302">
        <v>50</v>
      </c>
      <c r="CF18" s="302">
        <v>0</v>
      </c>
      <c r="CG18" s="302">
        <v>0</v>
      </c>
      <c r="CH18" s="302">
        <v>0</v>
      </c>
      <c r="CI18" s="302">
        <v>0</v>
      </c>
      <c r="CJ18" s="302">
        <v>332</v>
      </c>
      <c r="CK18" s="302">
        <v>174.38</v>
      </c>
      <c r="CL18" s="302">
        <v>0</v>
      </c>
      <c r="CM18" s="302">
        <v>0</v>
      </c>
      <c r="CN18" s="302">
        <v>0</v>
      </c>
      <c r="CO18" s="302">
        <v>334</v>
      </c>
      <c r="CP18" s="302">
        <v>0</v>
      </c>
      <c r="CQ18" s="302">
        <v>0</v>
      </c>
      <c r="CR18" s="302">
        <v>240.32</v>
      </c>
      <c r="CS18" s="284">
        <f t="shared" si="0"/>
        <v>8040.9999999999991</v>
      </c>
      <c r="EB18" s="170"/>
      <c r="EG18" s="108"/>
    </row>
    <row r="19" spans="1:225" ht="12.75" customHeight="1" x14ac:dyDescent="0.25">
      <c r="C19" s="292" t="s">
        <v>277</v>
      </c>
      <c r="D19" s="293">
        <v>111</v>
      </c>
      <c r="E19" s="287"/>
      <c r="F19" s="287"/>
      <c r="G19" s="294">
        <v>18</v>
      </c>
      <c r="H19" s="294">
        <v>0</v>
      </c>
      <c r="I19" s="294">
        <v>9.39</v>
      </c>
      <c r="J19" s="294">
        <v>0</v>
      </c>
      <c r="K19" s="294">
        <v>0</v>
      </c>
      <c r="L19" s="294">
        <v>0</v>
      </c>
      <c r="M19" s="294">
        <v>0</v>
      </c>
      <c r="N19" s="294">
        <v>29</v>
      </c>
      <c r="O19" s="294">
        <v>35</v>
      </c>
      <c r="P19" s="294">
        <v>0</v>
      </c>
      <c r="Q19" s="294">
        <v>32</v>
      </c>
      <c r="R19" s="294">
        <v>31</v>
      </c>
      <c r="S19" s="294">
        <v>25.02</v>
      </c>
      <c r="T19" s="294">
        <v>0</v>
      </c>
      <c r="U19" s="294">
        <v>22.93</v>
      </c>
      <c r="V19" s="294">
        <v>41</v>
      </c>
      <c r="W19" s="294">
        <v>0</v>
      </c>
      <c r="X19" s="294">
        <v>1</v>
      </c>
      <c r="Y19" s="294">
        <v>14</v>
      </c>
      <c r="Z19" s="294">
        <v>9.9</v>
      </c>
      <c r="AA19" s="294">
        <v>42</v>
      </c>
      <c r="AB19" s="294">
        <v>8.5</v>
      </c>
      <c r="AC19" s="294">
        <v>37</v>
      </c>
      <c r="AD19" s="294">
        <v>18</v>
      </c>
      <c r="AE19" s="294">
        <v>15</v>
      </c>
      <c r="AF19" s="294">
        <v>53.62</v>
      </c>
      <c r="AG19" s="294">
        <v>49.49</v>
      </c>
      <c r="AH19" s="294">
        <v>114</v>
      </c>
      <c r="AI19" s="294">
        <v>10</v>
      </c>
      <c r="AJ19" s="294">
        <v>0</v>
      </c>
      <c r="AK19" s="294">
        <v>2</v>
      </c>
      <c r="AL19" s="294">
        <v>44.46</v>
      </c>
      <c r="AM19" s="294">
        <v>0</v>
      </c>
      <c r="AN19" s="294">
        <v>0</v>
      </c>
      <c r="AO19" s="294">
        <v>0</v>
      </c>
      <c r="AP19" s="294">
        <v>31</v>
      </c>
      <c r="AQ19" s="294">
        <v>6</v>
      </c>
      <c r="AR19" s="294">
        <v>0</v>
      </c>
      <c r="AS19" s="294">
        <v>14</v>
      </c>
      <c r="AT19" s="294">
        <v>33.200000000000003</v>
      </c>
      <c r="AU19" s="294">
        <v>0</v>
      </c>
      <c r="AV19" s="294">
        <v>0</v>
      </c>
      <c r="AW19" s="294">
        <v>47</v>
      </c>
      <c r="AX19" s="294">
        <v>2</v>
      </c>
      <c r="AY19" s="294">
        <v>11.54</v>
      </c>
      <c r="AZ19" s="294">
        <v>42</v>
      </c>
      <c r="BA19" s="294">
        <v>0</v>
      </c>
      <c r="BB19" s="294">
        <v>0</v>
      </c>
      <c r="BC19" s="294">
        <v>6</v>
      </c>
      <c r="BD19" s="294">
        <v>0</v>
      </c>
      <c r="BE19" s="294">
        <v>0</v>
      </c>
      <c r="BF19" s="294">
        <v>0</v>
      </c>
      <c r="BG19" s="294">
        <v>0</v>
      </c>
      <c r="BH19" s="294">
        <v>0</v>
      </c>
      <c r="BI19" s="294">
        <v>9.73</v>
      </c>
      <c r="BJ19" s="294">
        <v>7.3</v>
      </c>
      <c r="BK19" s="294">
        <v>11.5</v>
      </c>
      <c r="BL19" s="294">
        <v>8</v>
      </c>
      <c r="BM19" s="294">
        <v>31</v>
      </c>
      <c r="BN19" s="294">
        <v>3</v>
      </c>
      <c r="BO19" s="294">
        <v>0</v>
      </c>
      <c r="BP19" s="294">
        <v>7</v>
      </c>
      <c r="BQ19" s="294">
        <v>0</v>
      </c>
      <c r="BR19" s="294">
        <v>0</v>
      </c>
      <c r="BS19" s="294">
        <v>0</v>
      </c>
      <c r="BT19" s="294">
        <v>16.7</v>
      </c>
      <c r="BU19" s="294">
        <v>7</v>
      </c>
      <c r="BV19" s="294">
        <v>7.5</v>
      </c>
      <c r="BW19" s="294">
        <v>9</v>
      </c>
      <c r="BX19" s="294">
        <v>0</v>
      </c>
      <c r="BY19" s="294">
        <v>18</v>
      </c>
      <c r="BZ19" s="294">
        <v>25</v>
      </c>
      <c r="CA19" s="294">
        <v>0</v>
      </c>
      <c r="CB19" s="294">
        <v>7</v>
      </c>
      <c r="CC19" s="294">
        <v>23</v>
      </c>
      <c r="CD19" s="294">
        <v>0</v>
      </c>
      <c r="CE19" s="294">
        <v>0</v>
      </c>
      <c r="CF19" s="294">
        <v>0</v>
      </c>
      <c r="CG19" s="294">
        <v>5</v>
      </c>
      <c r="CH19" s="294">
        <v>7</v>
      </c>
      <c r="CI19" s="294">
        <v>0</v>
      </c>
      <c r="CJ19" s="294">
        <v>0</v>
      </c>
      <c r="CK19" s="294">
        <v>0</v>
      </c>
      <c r="CL19" s="294">
        <v>0</v>
      </c>
      <c r="CM19" s="294">
        <v>63</v>
      </c>
      <c r="CN19" s="294">
        <v>5</v>
      </c>
      <c r="CO19" s="294">
        <v>0</v>
      </c>
      <c r="CP19" s="294">
        <v>4</v>
      </c>
      <c r="CQ19" s="294">
        <v>5</v>
      </c>
      <c r="CR19" s="294">
        <v>0</v>
      </c>
      <c r="CS19" s="284">
        <f t="shared" si="0"/>
        <v>1134.7800000000002</v>
      </c>
      <c r="EB19" s="170"/>
      <c r="EG19" s="108"/>
    </row>
    <row r="20" spans="1:225" ht="12.75" customHeight="1" x14ac:dyDescent="0.25">
      <c r="C20" s="292" t="s">
        <v>278</v>
      </c>
      <c r="D20" s="293">
        <v>112</v>
      </c>
      <c r="E20" s="287"/>
      <c r="F20" s="287"/>
      <c r="G20" s="294">
        <v>13</v>
      </c>
      <c r="H20" s="294">
        <v>29.09</v>
      </c>
      <c r="I20" s="294">
        <v>48.5</v>
      </c>
      <c r="J20" s="294">
        <v>29.09</v>
      </c>
      <c r="K20" s="294">
        <v>0</v>
      </c>
      <c r="L20" s="294">
        <v>0</v>
      </c>
      <c r="M20" s="294">
        <v>0</v>
      </c>
      <c r="N20" s="294">
        <v>119</v>
      </c>
      <c r="O20" s="294">
        <v>74</v>
      </c>
      <c r="P20" s="294">
        <v>70</v>
      </c>
      <c r="Q20" s="294">
        <v>34</v>
      </c>
      <c r="R20" s="294">
        <v>93</v>
      </c>
      <c r="S20" s="294">
        <v>21</v>
      </c>
      <c r="T20" s="294">
        <v>7</v>
      </c>
      <c r="U20" s="294">
        <v>46.08</v>
      </c>
      <c r="V20" s="294">
        <v>96</v>
      </c>
      <c r="W20" s="294">
        <v>0</v>
      </c>
      <c r="X20" s="294">
        <v>0</v>
      </c>
      <c r="Y20" s="294">
        <v>28</v>
      </c>
      <c r="Z20" s="294">
        <v>5</v>
      </c>
      <c r="AA20" s="294">
        <v>104</v>
      </c>
      <c r="AB20" s="294">
        <v>24</v>
      </c>
      <c r="AC20" s="294">
        <v>73</v>
      </c>
      <c r="AD20" s="294">
        <v>31</v>
      </c>
      <c r="AE20" s="294">
        <v>75</v>
      </c>
      <c r="AF20" s="294">
        <v>87</v>
      </c>
      <c r="AG20" s="294">
        <v>54</v>
      </c>
      <c r="AH20" s="294">
        <v>90</v>
      </c>
      <c r="AI20" s="294">
        <v>37.5</v>
      </c>
      <c r="AJ20" s="294">
        <v>0</v>
      </c>
      <c r="AK20" s="294">
        <v>3</v>
      </c>
      <c r="AL20" s="294">
        <v>87.56</v>
      </c>
      <c r="AM20" s="294">
        <v>0</v>
      </c>
      <c r="AN20" s="294">
        <v>217</v>
      </c>
      <c r="AO20" s="294">
        <v>154</v>
      </c>
      <c r="AP20" s="294">
        <v>33</v>
      </c>
      <c r="AQ20" s="294">
        <v>6</v>
      </c>
      <c r="AR20" s="294">
        <v>94</v>
      </c>
      <c r="AS20" s="294">
        <v>10</v>
      </c>
      <c r="AT20" s="294">
        <v>39.770000000000003</v>
      </c>
      <c r="AU20" s="294">
        <v>0</v>
      </c>
      <c r="AV20" s="294">
        <v>169.04</v>
      </c>
      <c r="AW20" s="294">
        <v>20</v>
      </c>
      <c r="AX20" s="294">
        <v>1</v>
      </c>
      <c r="AY20" s="294">
        <v>22.5</v>
      </c>
      <c r="AZ20" s="294">
        <v>40</v>
      </c>
      <c r="BA20" s="294">
        <v>25</v>
      </c>
      <c r="BB20" s="294">
        <v>0</v>
      </c>
      <c r="BC20" s="294">
        <v>11</v>
      </c>
      <c r="BD20" s="294">
        <v>21</v>
      </c>
      <c r="BE20" s="294">
        <v>0</v>
      </c>
      <c r="BF20" s="294">
        <v>0</v>
      </c>
      <c r="BG20" s="294">
        <v>0</v>
      </c>
      <c r="BH20" s="294">
        <v>0</v>
      </c>
      <c r="BI20" s="294">
        <v>17</v>
      </c>
      <c r="BJ20" s="294">
        <v>11.93</v>
      </c>
      <c r="BK20" s="294">
        <v>6</v>
      </c>
      <c r="BL20" s="294">
        <v>20</v>
      </c>
      <c r="BM20" s="294">
        <v>49</v>
      </c>
      <c r="BN20" s="294">
        <v>30</v>
      </c>
      <c r="BO20" s="294">
        <v>5</v>
      </c>
      <c r="BP20" s="294">
        <v>4</v>
      </c>
      <c r="BQ20" s="294">
        <v>67</v>
      </c>
      <c r="BR20" s="294">
        <v>41</v>
      </c>
      <c r="BS20" s="294">
        <v>22</v>
      </c>
      <c r="BT20" s="294">
        <v>9.94</v>
      </c>
      <c r="BU20" s="294">
        <v>13</v>
      </c>
      <c r="BV20" s="294">
        <v>7</v>
      </c>
      <c r="BW20" s="294">
        <v>16</v>
      </c>
      <c r="BX20" s="294">
        <v>0</v>
      </c>
      <c r="BY20" s="294">
        <v>11</v>
      </c>
      <c r="BZ20" s="294">
        <v>13</v>
      </c>
      <c r="CA20" s="294">
        <v>38</v>
      </c>
      <c r="CB20" s="294">
        <v>18.5</v>
      </c>
      <c r="CC20" s="294">
        <v>19</v>
      </c>
      <c r="CD20" s="294">
        <v>59</v>
      </c>
      <c r="CE20" s="294">
        <v>3</v>
      </c>
      <c r="CF20" s="294">
        <v>37.25</v>
      </c>
      <c r="CG20" s="294">
        <v>18</v>
      </c>
      <c r="CH20" s="294">
        <v>23</v>
      </c>
      <c r="CI20" s="294">
        <v>29.11</v>
      </c>
      <c r="CJ20" s="294">
        <v>0</v>
      </c>
      <c r="CK20" s="294">
        <v>0</v>
      </c>
      <c r="CL20" s="294">
        <v>39</v>
      </c>
      <c r="CM20" s="294">
        <v>54</v>
      </c>
      <c r="CN20" s="294">
        <v>3</v>
      </c>
      <c r="CO20" s="294">
        <v>53</v>
      </c>
      <c r="CP20" s="294">
        <v>5</v>
      </c>
      <c r="CQ20" s="294">
        <v>6</v>
      </c>
      <c r="CR20" s="294">
        <v>0</v>
      </c>
      <c r="CS20" s="284">
        <f t="shared" si="0"/>
        <v>2989.86</v>
      </c>
      <c r="EB20" s="170"/>
      <c r="EG20" s="108"/>
    </row>
    <row r="21" spans="1:225" ht="12.75" customHeight="1" x14ac:dyDescent="0.25">
      <c r="C21" s="292" t="s">
        <v>279</v>
      </c>
      <c r="D21" s="293">
        <v>113</v>
      </c>
      <c r="E21" s="287"/>
      <c r="F21" s="287"/>
      <c r="G21" s="294">
        <v>0</v>
      </c>
      <c r="H21" s="294">
        <v>0</v>
      </c>
      <c r="I21" s="294">
        <v>0</v>
      </c>
      <c r="J21" s="294">
        <v>0</v>
      </c>
      <c r="K21" s="294">
        <v>34.56</v>
      </c>
      <c r="L21" s="294">
        <v>31.03</v>
      </c>
      <c r="M21" s="294">
        <v>59</v>
      </c>
      <c r="N21" s="294">
        <v>0</v>
      </c>
      <c r="O21" s="294">
        <v>0</v>
      </c>
      <c r="P21" s="294">
        <v>0</v>
      </c>
      <c r="Q21" s="294">
        <v>0</v>
      </c>
      <c r="R21" s="294">
        <v>0</v>
      </c>
      <c r="S21" s="294">
        <v>0</v>
      </c>
      <c r="T21" s="294">
        <v>0</v>
      </c>
      <c r="U21" s="294">
        <v>0</v>
      </c>
      <c r="V21" s="294">
        <v>0</v>
      </c>
      <c r="W21" s="294">
        <v>31</v>
      </c>
      <c r="X21" s="294">
        <v>0</v>
      </c>
      <c r="Y21" s="294">
        <v>0</v>
      </c>
      <c r="Z21" s="294">
        <v>0</v>
      </c>
      <c r="AA21" s="294">
        <v>0</v>
      </c>
      <c r="AB21" s="294">
        <v>0</v>
      </c>
      <c r="AC21" s="294">
        <v>0</v>
      </c>
      <c r="AD21" s="294">
        <v>0</v>
      </c>
      <c r="AE21" s="294">
        <v>0</v>
      </c>
      <c r="AF21" s="294">
        <v>0</v>
      </c>
      <c r="AG21" s="294">
        <v>0</v>
      </c>
      <c r="AH21" s="294">
        <v>0</v>
      </c>
      <c r="AI21" s="294">
        <v>0</v>
      </c>
      <c r="AJ21" s="294">
        <v>62</v>
      </c>
      <c r="AK21" s="294">
        <v>0</v>
      </c>
      <c r="AL21" s="294">
        <v>0</v>
      </c>
      <c r="AM21" s="294">
        <v>41.3</v>
      </c>
      <c r="AN21" s="294">
        <v>0</v>
      </c>
      <c r="AO21" s="294">
        <v>163</v>
      </c>
      <c r="AP21" s="294">
        <v>0</v>
      </c>
      <c r="AQ21" s="294">
        <v>0</v>
      </c>
      <c r="AR21" s="294">
        <v>362</v>
      </c>
      <c r="AS21" s="294">
        <v>0</v>
      </c>
      <c r="AT21" s="294">
        <v>0</v>
      </c>
      <c r="AU21" s="294">
        <v>125</v>
      </c>
      <c r="AV21" s="294">
        <v>0</v>
      </c>
      <c r="AW21" s="294">
        <v>0</v>
      </c>
      <c r="AX21" s="294">
        <v>0</v>
      </c>
      <c r="AY21" s="294">
        <v>0</v>
      </c>
      <c r="AZ21" s="294">
        <v>0</v>
      </c>
      <c r="BA21" s="294">
        <v>0</v>
      </c>
      <c r="BB21" s="294">
        <v>43</v>
      </c>
      <c r="BC21" s="294">
        <v>0</v>
      </c>
      <c r="BD21" s="294">
        <v>0</v>
      </c>
      <c r="BE21" s="294">
        <v>22</v>
      </c>
      <c r="BF21" s="294">
        <v>168.04</v>
      </c>
      <c r="BG21" s="294">
        <v>50</v>
      </c>
      <c r="BH21" s="294">
        <v>41</v>
      </c>
      <c r="BI21" s="294">
        <v>0</v>
      </c>
      <c r="BJ21" s="294">
        <v>0</v>
      </c>
      <c r="BK21" s="294">
        <v>0</v>
      </c>
      <c r="BL21" s="294">
        <v>0</v>
      </c>
      <c r="BM21" s="294">
        <v>0</v>
      </c>
      <c r="BN21" s="294">
        <v>0</v>
      </c>
      <c r="BO21" s="294">
        <v>0</v>
      </c>
      <c r="BP21" s="294">
        <v>0</v>
      </c>
      <c r="BQ21" s="294">
        <v>0</v>
      </c>
      <c r="BR21" s="294">
        <v>0</v>
      </c>
      <c r="BS21" s="294">
        <v>0</v>
      </c>
      <c r="BT21" s="294">
        <v>0</v>
      </c>
      <c r="BU21" s="294">
        <v>0</v>
      </c>
      <c r="BV21" s="294">
        <v>0</v>
      </c>
      <c r="BW21" s="294">
        <v>0</v>
      </c>
      <c r="BX21" s="294">
        <v>46.52</v>
      </c>
      <c r="BY21" s="294">
        <v>0</v>
      </c>
      <c r="BZ21" s="294">
        <v>0</v>
      </c>
      <c r="CA21" s="294">
        <v>0</v>
      </c>
      <c r="CB21" s="294">
        <v>0</v>
      </c>
      <c r="CC21" s="294">
        <v>0</v>
      </c>
      <c r="CD21" s="294">
        <v>0</v>
      </c>
      <c r="CE21" s="294">
        <v>7</v>
      </c>
      <c r="CF21" s="294">
        <v>0</v>
      </c>
      <c r="CG21" s="294">
        <v>0</v>
      </c>
      <c r="CH21" s="294">
        <v>0</v>
      </c>
      <c r="CI21" s="294">
        <v>0</v>
      </c>
      <c r="CJ21" s="294">
        <v>57</v>
      </c>
      <c r="CK21" s="294">
        <v>16.52</v>
      </c>
      <c r="CL21" s="294">
        <v>0</v>
      </c>
      <c r="CM21" s="294">
        <v>0</v>
      </c>
      <c r="CN21" s="294">
        <v>0</v>
      </c>
      <c r="CO21" s="294">
        <v>54</v>
      </c>
      <c r="CP21" s="294">
        <v>0</v>
      </c>
      <c r="CQ21" s="294">
        <v>0</v>
      </c>
      <c r="CR21" s="294">
        <v>57.98</v>
      </c>
      <c r="CS21" s="284">
        <f t="shared" si="0"/>
        <v>1471.95</v>
      </c>
      <c r="EB21" s="170"/>
      <c r="EG21" s="108"/>
    </row>
    <row r="22" spans="1:225" ht="12.75" customHeight="1" x14ac:dyDescent="0.2">
      <c r="C22" s="108" t="s">
        <v>280</v>
      </c>
      <c r="D22" s="119">
        <v>130</v>
      </c>
      <c r="E22" s="287"/>
      <c r="F22" s="287">
        <v>5</v>
      </c>
      <c r="G22" s="302">
        <v>82</v>
      </c>
      <c r="H22" s="302"/>
      <c r="I22" s="302">
        <v>69.989999999999995</v>
      </c>
      <c r="J22" s="302"/>
      <c r="K22" s="302">
        <v>0</v>
      </c>
      <c r="L22" s="302"/>
      <c r="M22" s="302">
        <v>0</v>
      </c>
      <c r="N22" s="302">
        <v>79</v>
      </c>
      <c r="O22" s="302">
        <v>89</v>
      </c>
      <c r="P22" s="302">
        <v>0</v>
      </c>
      <c r="Q22" s="302">
        <v>320</v>
      </c>
      <c r="R22" s="302">
        <v>110</v>
      </c>
      <c r="S22" s="302">
        <v>23.65</v>
      </c>
      <c r="T22" s="302"/>
      <c r="U22" s="302">
        <v>41.22</v>
      </c>
      <c r="V22" s="302">
        <v>78</v>
      </c>
      <c r="W22" s="302">
        <v>0</v>
      </c>
      <c r="X22" s="302">
        <v>20</v>
      </c>
      <c r="Y22" s="302">
        <v>70</v>
      </c>
      <c r="Z22" s="302">
        <v>13.12</v>
      </c>
      <c r="AA22" s="302">
        <v>82</v>
      </c>
      <c r="AB22" s="302">
        <v>22</v>
      </c>
      <c r="AC22" s="302">
        <v>80</v>
      </c>
      <c r="AD22" s="302">
        <v>33</v>
      </c>
      <c r="AE22" s="302">
        <v>32</v>
      </c>
      <c r="AF22" s="302">
        <v>76.25</v>
      </c>
      <c r="AG22" s="302">
        <v>40.049999999999997</v>
      </c>
      <c r="AH22" s="302">
        <v>92</v>
      </c>
      <c r="AI22" s="302">
        <v>36</v>
      </c>
      <c r="AJ22" s="302">
        <v>0</v>
      </c>
      <c r="AK22" s="302">
        <v>15</v>
      </c>
      <c r="AL22" s="302">
        <v>43.72</v>
      </c>
      <c r="AM22" s="302">
        <v>0</v>
      </c>
      <c r="AN22" s="302">
        <v>0</v>
      </c>
      <c r="AO22" s="302">
        <v>0</v>
      </c>
      <c r="AP22" s="302">
        <v>279</v>
      </c>
      <c r="AQ22" s="302">
        <v>34</v>
      </c>
      <c r="AR22" s="302">
        <v>0</v>
      </c>
      <c r="AS22" s="302">
        <v>45</v>
      </c>
      <c r="AT22" s="302">
        <v>45.51</v>
      </c>
      <c r="AU22" s="302"/>
      <c r="AV22" s="302">
        <v>0</v>
      </c>
      <c r="AW22" s="302">
        <v>46</v>
      </c>
      <c r="AX22" s="302">
        <v>15</v>
      </c>
      <c r="AY22" s="302">
        <v>74.62</v>
      </c>
      <c r="AZ22" s="302">
        <v>130</v>
      </c>
      <c r="BA22" s="302">
        <v>0</v>
      </c>
      <c r="BB22" s="302">
        <v>0</v>
      </c>
      <c r="BC22" s="302">
        <v>13</v>
      </c>
      <c r="BD22" s="302">
        <v>0</v>
      </c>
      <c r="BE22" s="302">
        <v>0</v>
      </c>
      <c r="BF22" s="302">
        <v>0</v>
      </c>
      <c r="BG22" s="302">
        <v>0</v>
      </c>
      <c r="BH22" s="302">
        <v>0</v>
      </c>
      <c r="BI22" s="302">
        <v>3.41</v>
      </c>
      <c r="BJ22" s="302">
        <v>16.86</v>
      </c>
      <c r="BK22" s="302">
        <v>17.350000000000001</v>
      </c>
      <c r="BL22" s="302">
        <v>72</v>
      </c>
      <c r="BM22" s="302">
        <v>233</v>
      </c>
      <c r="BN22" s="302">
        <v>15</v>
      </c>
      <c r="BO22" s="302">
        <v>0</v>
      </c>
      <c r="BP22" s="302">
        <v>34</v>
      </c>
      <c r="BQ22" s="302">
        <v>0</v>
      </c>
      <c r="BR22" s="302">
        <v>0</v>
      </c>
      <c r="BS22" s="302">
        <v>0</v>
      </c>
      <c r="BT22" s="302">
        <v>38.5</v>
      </c>
      <c r="BU22" s="302">
        <v>33</v>
      </c>
      <c r="BV22" s="302">
        <v>25.76</v>
      </c>
      <c r="BW22" s="302">
        <v>70</v>
      </c>
      <c r="BX22" s="302">
        <v>0</v>
      </c>
      <c r="BY22" s="302">
        <v>30</v>
      </c>
      <c r="BZ22" s="302">
        <v>61</v>
      </c>
      <c r="CA22" s="302">
        <v>0</v>
      </c>
      <c r="CB22" s="302">
        <v>8</v>
      </c>
      <c r="CC22" s="302">
        <v>62</v>
      </c>
      <c r="CD22" s="302">
        <v>0</v>
      </c>
      <c r="CE22" s="302">
        <v>0</v>
      </c>
      <c r="CF22" s="302">
        <v>0</v>
      </c>
      <c r="CG22" s="302">
        <v>13</v>
      </c>
      <c r="CH22" s="302">
        <v>80</v>
      </c>
      <c r="CI22" s="302"/>
      <c r="CJ22" s="302">
        <v>0</v>
      </c>
      <c r="CK22" s="302">
        <v>0</v>
      </c>
      <c r="CL22" s="302">
        <v>0</v>
      </c>
      <c r="CM22" s="302">
        <v>45</v>
      </c>
      <c r="CN22" s="302">
        <v>60</v>
      </c>
      <c r="CO22" s="302">
        <v>0</v>
      </c>
      <c r="CP22" s="302">
        <v>2</v>
      </c>
      <c r="CQ22" s="302">
        <v>19</v>
      </c>
      <c r="CR22" s="302">
        <v>0</v>
      </c>
      <c r="CS22" s="284">
        <f t="shared" si="0"/>
        <v>3169.01</v>
      </c>
      <c r="EB22" s="170"/>
      <c r="EG22" s="108"/>
    </row>
    <row r="23" spans="1:225" ht="12.75" customHeight="1" x14ac:dyDescent="0.2">
      <c r="C23" s="108" t="s">
        <v>281</v>
      </c>
      <c r="D23" s="119">
        <v>130</v>
      </c>
      <c r="E23" s="287"/>
      <c r="F23" s="287"/>
      <c r="G23" s="302">
        <v>14</v>
      </c>
      <c r="H23" s="302">
        <v>17.93</v>
      </c>
      <c r="I23" s="302">
        <v>40</v>
      </c>
      <c r="J23" s="302">
        <v>17.93</v>
      </c>
      <c r="K23" s="302">
        <v>0</v>
      </c>
      <c r="L23" s="302"/>
      <c r="M23" s="302">
        <v>0</v>
      </c>
      <c r="N23" s="302">
        <v>23</v>
      </c>
      <c r="O23" s="302">
        <v>17</v>
      </c>
      <c r="P23" s="302">
        <v>35</v>
      </c>
      <c r="Q23" s="302">
        <v>132</v>
      </c>
      <c r="R23" s="302">
        <v>55</v>
      </c>
      <c r="S23" s="302">
        <v>5.83</v>
      </c>
      <c r="T23" s="302">
        <v>5</v>
      </c>
      <c r="U23" s="302">
        <v>0</v>
      </c>
      <c r="V23" s="302">
        <v>31</v>
      </c>
      <c r="W23" s="302">
        <v>0</v>
      </c>
      <c r="X23" s="302">
        <v>0</v>
      </c>
      <c r="Y23" s="302">
        <v>18</v>
      </c>
      <c r="Z23" s="302">
        <v>5.94</v>
      </c>
      <c r="AA23" s="302">
        <v>23</v>
      </c>
      <c r="AB23" s="302">
        <v>17</v>
      </c>
      <c r="AC23" s="302">
        <v>30</v>
      </c>
      <c r="AD23" s="302">
        <v>4</v>
      </c>
      <c r="AE23" s="302">
        <v>44</v>
      </c>
      <c r="AF23" s="302">
        <v>25.13</v>
      </c>
      <c r="AG23" s="302">
        <v>19.98</v>
      </c>
      <c r="AH23" s="302">
        <v>14</v>
      </c>
      <c r="AI23" s="302">
        <v>8</v>
      </c>
      <c r="AJ23" s="302">
        <v>0</v>
      </c>
      <c r="AK23" s="302">
        <v>0</v>
      </c>
      <c r="AL23" s="302">
        <v>0</v>
      </c>
      <c r="AM23" s="302">
        <v>0</v>
      </c>
      <c r="AN23" s="302">
        <v>11</v>
      </c>
      <c r="AO23" s="302">
        <v>6</v>
      </c>
      <c r="AP23" s="302">
        <v>75</v>
      </c>
      <c r="AQ23" s="302">
        <v>8</v>
      </c>
      <c r="AR23" s="302">
        <v>0</v>
      </c>
      <c r="AS23" s="302">
        <v>7</v>
      </c>
      <c r="AT23" s="302">
        <v>0</v>
      </c>
      <c r="AU23" s="302"/>
      <c r="AV23" s="302">
        <v>20.66</v>
      </c>
      <c r="AW23" s="302">
        <v>22</v>
      </c>
      <c r="AX23" s="302">
        <v>3</v>
      </c>
      <c r="AY23" s="302">
        <v>24.62</v>
      </c>
      <c r="AZ23" s="302">
        <v>30</v>
      </c>
      <c r="BA23" s="302">
        <v>14</v>
      </c>
      <c r="BB23" s="302">
        <v>0</v>
      </c>
      <c r="BC23" s="302">
        <v>2</v>
      </c>
      <c r="BD23" s="302">
        <v>55</v>
      </c>
      <c r="BE23" s="302">
        <v>0</v>
      </c>
      <c r="BF23" s="302"/>
      <c r="BG23" s="302"/>
      <c r="BH23" s="302">
        <v>0</v>
      </c>
      <c r="BI23" s="302">
        <v>10.08</v>
      </c>
      <c r="BJ23" s="302">
        <v>0</v>
      </c>
      <c r="BK23" s="302">
        <v>2.54</v>
      </c>
      <c r="BL23" s="302">
        <v>10</v>
      </c>
      <c r="BM23" s="302">
        <v>65</v>
      </c>
      <c r="BN23" s="302">
        <v>8</v>
      </c>
      <c r="BO23" s="302">
        <v>4</v>
      </c>
      <c r="BP23" s="302">
        <v>16</v>
      </c>
      <c r="BQ23" s="302">
        <v>0</v>
      </c>
      <c r="BR23" s="302">
        <v>22</v>
      </c>
      <c r="BS23" s="302">
        <v>17</v>
      </c>
      <c r="BT23" s="302">
        <v>0</v>
      </c>
      <c r="BU23" s="302">
        <v>6</v>
      </c>
      <c r="BV23" s="302">
        <v>0</v>
      </c>
      <c r="BW23" s="302">
        <v>22</v>
      </c>
      <c r="BX23" s="302"/>
      <c r="BY23" s="302">
        <v>17</v>
      </c>
      <c r="BZ23" s="302">
        <v>15</v>
      </c>
      <c r="CA23" s="302">
        <v>10</v>
      </c>
      <c r="CB23" s="302">
        <v>9</v>
      </c>
      <c r="CC23" s="302">
        <v>25</v>
      </c>
      <c r="CD23" s="302">
        <v>23</v>
      </c>
      <c r="CE23" s="302">
        <v>3</v>
      </c>
      <c r="CF23" s="302">
        <v>5.62</v>
      </c>
      <c r="CG23" s="302">
        <v>4</v>
      </c>
      <c r="CH23" s="302">
        <v>35</v>
      </c>
      <c r="CI23" s="302">
        <v>6.87</v>
      </c>
      <c r="CJ23" s="302">
        <v>0</v>
      </c>
      <c r="CK23" s="302">
        <v>0</v>
      </c>
      <c r="CL23" s="302">
        <v>31.04</v>
      </c>
      <c r="CM23" s="302">
        <v>45</v>
      </c>
      <c r="CN23" s="302">
        <v>10</v>
      </c>
      <c r="CO23" s="302">
        <v>110</v>
      </c>
      <c r="CP23" s="302">
        <v>2</v>
      </c>
      <c r="CQ23" s="302">
        <v>15</v>
      </c>
      <c r="CR23" s="302">
        <v>0</v>
      </c>
      <c r="CS23" s="284">
        <f t="shared" si="0"/>
        <v>1430.1699999999996</v>
      </c>
      <c r="EB23" s="170"/>
      <c r="EG23" s="108"/>
    </row>
    <row r="24" spans="1:225" ht="12.75" customHeight="1" x14ac:dyDescent="0.2">
      <c r="C24" s="108" t="s">
        <v>282</v>
      </c>
      <c r="D24" s="119">
        <v>130</v>
      </c>
      <c r="E24" s="287"/>
      <c r="F24" s="287"/>
      <c r="G24" s="302">
        <v>0</v>
      </c>
      <c r="H24" s="302">
        <v>0</v>
      </c>
      <c r="I24" s="302">
        <v>0</v>
      </c>
      <c r="J24" s="302">
        <v>0</v>
      </c>
      <c r="K24" s="302">
        <v>10.02</v>
      </c>
      <c r="L24" s="302">
        <v>3.72</v>
      </c>
      <c r="M24" s="302">
        <v>0</v>
      </c>
      <c r="N24" s="302">
        <v>0</v>
      </c>
      <c r="O24" s="302">
        <v>0</v>
      </c>
      <c r="P24" s="302">
        <v>0</v>
      </c>
      <c r="Q24" s="302">
        <v>0</v>
      </c>
      <c r="R24" s="302">
        <v>0</v>
      </c>
      <c r="S24" s="302">
        <v>0</v>
      </c>
      <c r="T24" s="302">
        <v>0</v>
      </c>
      <c r="U24" s="302">
        <v>0</v>
      </c>
      <c r="V24" s="302">
        <v>0</v>
      </c>
      <c r="W24" s="302">
        <v>56</v>
      </c>
      <c r="X24" s="302">
        <v>0</v>
      </c>
      <c r="Y24" s="302">
        <v>0</v>
      </c>
      <c r="Z24" s="302">
        <v>0</v>
      </c>
      <c r="AA24" s="302">
        <v>0</v>
      </c>
      <c r="AB24" s="302">
        <v>0</v>
      </c>
      <c r="AC24" s="302">
        <v>0</v>
      </c>
      <c r="AD24" s="302">
        <v>0</v>
      </c>
      <c r="AE24" s="302"/>
      <c r="AF24" s="302">
        <v>0</v>
      </c>
      <c r="AG24" s="302">
        <v>0</v>
      </c>
      <c r="AH24" s="302">
        <v>0</v>
      </c>
      <c r="AI24" s="302">
        <v>0</v>
      </c>
      <c r="AJ24" s="302">
        <v>22</v>
      </c>
      <c r="AK24" s="302">
        <v>0</v>
      </c>
      <c r="AL24" s="302">
        <v>0</v>
      </c>
      <c r="AM24" s="302">
        <v>9.18</v>
      </c>
      <c r="AN24" s="302">
        <v>0</v>
      </c>
      <c r="AO24" s="302">
        <v>2</v>
      </c>
      <c r="AP24" s="302">
        <v>0</v>
      </c>
      <c r="AQ24" s="302">
        <v>0</v>
      </c>
      <c r="AR24" s="302">
        <v>4</v>
      </c>
      <c r="AS24" s="302">
        <v>0</v>
      </c>
      <c r="AT24" s="302">
        <v>0</v>
      </c>
      <c r="AU24" s="302">
        <v>55</v>
      </c>
      <c r="AV24" s="302"/>
      <c r="AW24" s="302">
        <v>0</v>
      </c>
      <c r="AX24" s="302">
        <v>0</v>
      </c>
      <c r="AY24" s="302">
        <v>0</v>
      </c>
      <c r="AZ24" s="302">
        <v>0</v>
      </c>
      <c r="BA24" s="302">
        <v>0</v>
      </c>
      <c r="BB24" s="302">
        <v>21</v>
      </c>
      <c r="BC24" s="302">
        <v>0</v>
      </c>
      <c r="BD24" s="302">
        <v>0</v>
      </c>
      <c r="BE24" s="302">
        <v>17</v>
      </c>
      <c r="BF24" s="302">
        <v>19.100000000000001</v>
      </c>
      <c r="BG24" s="302">
        <v>25</v>
      </c>
      <c r="BH24" s="302">
        <v>45</v>
      </c>
      <c r="BI24" s="302">
        <v>0</v>
      </c>
      <c r="BJ24" s="302">
        <v>0</v>
      </c>
      <c r="BK24" s="302">
        <v>0</v>
      </c>
      <c r="BL24" s="302">
        <v>0</v>
      </c>
      <c r="BM24" s="302">
        <v>0</v>
      </c>
      <c r="BN24" s="302">
        <v>0</v>
      </c>
      <c r="BO24" s="302">
        <v>0</v>
      </c>
      <c r="BP24" s="302">
        <v>0</v>
      </c>
      <c r="BQ24" s="302">
        <v>0</v>
      </c>
      <c r="BR24" s="302">
        <v>0</v>
      </c>
      <c r="BS24" s="302">
        <v>0</v>
      </c>
      <c r="BT24" s="302">
        <v>0</v>
      </c>
      <c r="BU24" s="302">
        <v>0</v>
      </c>
      <c r="BV24" s="302">
        <v>0</v>
      </c>
      <c r="BW24" s="302">
        <v>0</v>
      </c>
      <c r="BX24" s="302">
        <v>0.87</v>
      </c>
      <c r="BY24" s="302">
        <v>0</v>
      </c>
      <c r="BZ24" s="302">
        <v>0</v>
      </c>
      <c r="CA24" s="302">
        <v>0</v>
      </c>
      <c r="CB24" s="302">
        <v>0</v>
      </c>
      <c r="CC24" s="302">
        <v>0</v>
      </c>
      <c r="CD24" s="302">
        <v>0</v>
      </c>
      <c r="CE24" s="302">
        <v>5</v>
      </c>
      <c r="CF24" s="302">
        <v>0</v>
      </c>
      <c r="CG24" s="302">
        <v>0</v>
      </c>
      <c r="CH24" s="302">
        <v>0</v>
      </c>
      <c r="CI24" s="302">
        <v>0</v>
      </c>
      <c r="CJ24" s="302">
        <v>11</v>
      </c>
      <c r="CK24" s="302">
        <v>0</v>
      </c>
      <c r="CL24" s="302">
        <v>0</v>
      </c>
      <c r="CM24" s="302">
        <v>0</v>
      </c>
      <c r="CN24" s="302">
        <v>0</v>
      </c>
      <c r="CO24" s="302">
        <v>150</v>
      </c>
      <c r="CP24" s="302">
        <v>0</v>
      </c>
      <c r="CQ24" s="302">
        <v>0</v>
      </c>
      <c r="CR24" s="302">
        <v>19.72</v>
      </c>
      <c r="CS24" s="284">
        <f t="shared" si="0"/>
        <v>475.61</v>
      </c>
      <c r="EB24" s="170"/>
      <c r="EG24" s="108"/>
      <c r="HK24" s="285"/>
      <c r="HL24" s="285"/>
    </row>
    <row r="25" spans="1:225" ht="12.75" customHeight="1" x14ac:dyDescent="0.2">
      <c r="C25" s="108" t="s">
        <v>283</v>
      </c>
      <c r="D25" s="119">
        <v>254</v>
      </c>
      <c r="E25" s="287"/>
      <c r="F25" s="287"/>
      <c r="G25" s="302">
        <v>0</v>
      </c>
      <c r="H25" s="302">
        <v>0</v>
      </c>
      <c r="I25" s="302">
        <v>0</v>
      </c>
      <c r="J25" s="302">
        <v>0</v>
      </c>
      <c r="K25" s="302">
        <v>0</v>
      </c>
      <c r="L25" s="302">
        <v>0</v>
      </c>
      <c r="M25" s="302">
        <v>0</v>
      </c>
      <c r="N25" s="302">
        <v>0</v>
      </c>
      <c r="O25" s="302">
        <v>0</v>
      </c>
      <c r="P25" s="302">
        <v>0</v>
      </c>
      <c r="Q25" s="302">
        <v>0</v>
      </c>
      <c r="R25" s="302"/>
      <c r="S25" s="302">
        <v>0</v>
      </c>
      <c r="T25" s="302">
        <v>0</v>
      </c>
      <c r="U25" s="302">
        <v>0</v>
      </c>
      <c r="V25" s="302">
        <v>0</v>
      </c>
      <c r="W25" s="302">
        <v>0</v>
      </c>
      <c r="X25" s="302">
        <v>0</v>
      </c>
      <c r="Y25" s="302">
        <v>0</v>
      </c>
      <c r="Z25" s="302">
        <v>0</v>
      </c>
      <c r="AA25" s="302">
        <v>0</v>
      </c>
      <c r="AB25" s="302">
        <v>0</v>
      </c>
      <c r="AC25" s="302">
        <v>0</v>
      </c>
      <c r="AD25" s="302">
        <v>0</v>
      </c>
      <c r="AE25" s="302">
        <v>0</v>
      </c>
      <c r="AF25" s="302">
        <v>0</v>
      </c>
      <c r="AG25" s="302">
        <v>0</v>
      </c>
      <c r="AH25" s="302">
        <v>1</v>
      </c>
      <c r="AI25" s="302">
        <v>0</v>
      </c>
      <c r="AJ25" s="302">
        <v>0</v>
      </c>
      <c r="AK25" s="302">
        <v>0</v>
      </c>
      <c r="AL25" s="302">
        <v>0</v>
      </c>
      <c r="AM25" s="302">
        <v>0</v>
      </c>
      <c r="AN25" s="302">
        <v>0</v>
      </c>
      <c r="AO25" s="302">
        <v>0</v>
      </c>
      <c r="AP25" s="302">
        <v>0</v>
      </c>
      <c r="AQ25" s="302">
        <v>0</v>
      </c>
      <c r="AR25" s="302">
        <v>0</v>
      </c>
      <c r="AS25" s="302">
        <v>0</v>
      </c>
      <c r="AT25" s="302">
        <v>0</v>
      </c>
      <c r="AU25" s="302">
        <v>0</v>
      </c>
      <c r="AV25" s="302">
        <v>0</v>
      </c>
      <c r="AW25" s="302">
        <v>0</v>
      </c>
      <c r="AX25" s="302">
        <v>0</v>
      </c>
      <c r="AY25" s="302">
        <v>0</v>
      </c>
      <c r="AZ25" s="302">
        <v>0</v>
      </c>
      <c r="BA25" s="302">
        <v>0</v>
      </c>
      <c r="BB25" s="302">
        <v>0</v>
      </c>
      <c r="BC25" s="302">
        <v>0</v>
      </c>
      <c r="BD25" s="302">
        <v>0</v>
      </c>
      <c r="BE25" s="302">
        <v>0</v>
      </c>
      <c r="BF25" s="302">
        <v>0</v>
      </c>
      <c r="BG25" s="302">
        <v>0</v>
      </c>
      <c r="BH25" s="302">
        <v>0</v>
      </c>
      <c r="BI25" s="302">
        <v>0</v>
      </c>
      <c r="BJ25" s="302">
        <v>0</v>
      </c>
      <c r="BK25" s="302">
        <v>0</v>
      </c>
      <c r="BL25" s="302">
        <v>0</v>
      </c>
      <c r="BM25" s="302">
        <v>0</v>
      </c>
      <c r="BN25" s="302">
        <v>0</v>
      </c>
      <c r="BO25" s="302">
        <v>0</v>
      </c>
      <c r="BP25" s="302">
        <v>0</v>
      </c>
      <c r="BQ25" s="302">
        <v>0</v>
      </c>
      <c r="BR25" s="302">
        <v>0</v>
      </c>
      <c r="BS25" s="302">
        <v>0</v>
      </c>
      <c r="BT25" s="302">
        <v>0</v>
      </c>
      <c r="BU25" s="302">
        <v>0</v>
      </c>
      <c r="BV25" s="302">
        <v>0</v>
      </c>
      <c r="BW25" s="302">
        <v>0</v>
      </c>
      <c r="BX25" s="302">
        <v>0</v>
      </c>
      <c r="BY25" s="302">
        <v>0</v>
      </c>
      <c r="BZ25" s="302">
        <v>0</v>
      </c>
      <c r="CA25" s="302">
        <v>0</v>
      </c>
      <c r="CB25" s="302">
        <v>0</v>
      </c>
      <c r="CC25" s="302">
        <v>0</v>
      </c>
      <c r="CD25" s="302">
        <v>0</v>
      </c>
      <c r="CE25" s="302">
        <v>0</v>
      </c>
      <c r="CF25" s="302">
        <v>0</v>
      </c>
      <c r="CG25" s="302">
        <v>0</v>
      </c>
      <c r="CH25" s="302">
        <v>0</v>
      </c>
      <c r="CI25" s="302">
        <v>0</v>
      </c>
      <c r="CJ25" s="302">
        <v>0</v>
      </c>
      <c r="CK25" s="302">
        <v>0</v>
      </c>
      <c r="CL25" s="302">
        <v>0</v>
      </c>
      <c r="CM25" s="302">
        <v>0</v>
      </c>
      <c r="CN25" s="302">
        <v>0</v>
      </c>
      <c r="CO25" s="302">
        <v>0</v>
      </c>
      <c r="CP25" s="302">
        <v>0</v>
      </c>
      <c r="CQ25" s="302">
        <v>0</v>
      </c>
      <c r="CR25" s="302">
        <v>0</v>
      </c>
      <c r="CS25" s="284">
        <f t="shared" si="0"/>
        <v>1</v>
      </c>
      <c r="EB25" s="170"/>
      <c r="EG25" s="108"/>
      <c r="HK25" s="285"/>
      <c r="HL25" s="285"/>
    </row>
    <row r="26" spans="1:225" ht="12.75" customHeight="1" x14ac:dyDescent="0.2">
      <c r="C26" s="108" t="s">
        <v>284</v>
      </c>
      <c r="D26" s="119">
        <v>254</v>
      </c>
      <c r="E26" s="287"/>
      <c r="F26" s="287"/>
      <c r="G26" s="302">
        <v>0</v>
      </c>
      <c r="H26" s="302">
        <v>0</v>
      </c>
      <c r="I26" s="302">
        <v>0</v>
      </c>
      <c r="J26" s="302">
        <v>0</v>
      </c>
      <c r="K26" s="302">
        <v>0</v>
      </c>
      <c r="L26" s="302">
        <v>0</v>
      </c>
      <c r="M26" s="302">
        <v>0</v>
      </c>
      <c r="N26" s="302">
        <v>0</v>
      </c>
      <c r="O26" s="302">
        <v>0</v>
      </c>
      <c r="P26" s="302">
        <v>0</v>
      </c>
      <c r="Q26" s="302">
        <v>0</v>
      </c>
      <c r="R26" s="302"/>
      <c r="S26" s="302">
        <v>0</v>
      </c>
      <c r="T26" s="302">
        <v>0</v>
      </c>
      <c r="U26" s="302">
        <v>0</v>
      </c>
      <c r="V26" s="302">
        <v>0</v>
      </c>
      <c r="W26" s="302">
        <v>0</v>
      </c>
      <c r="X26" s="302">
        <v>0</v>
      </c>
      <c r="Y26" s="302">
        <v>0</v>
      </c>
      <c r="Z26" s="302">
        <v>0</v>
      </c>
      <c r="AA26" s="302">
        <v>0</v>
      </c>
      <c r="AB26" s="302">
        <v>0</v>
      </c>
      <c r="AC26" s="302">
        <v>0</v>
      </c>
      <c r="AD26" s="302">
        <v>0</v>
      </c>
      <c r="AE26" s="302">
        <v>0</v>
      </c>
      <c r="AF26" s="302">
        <v>0</v>
      </c>
      <c r="AG26" s="302">
        <v>0</v>
      </c>
      <c r="AH26" s="302">
        <v>0</v>
      </c>
      <c r="AI26" s="302">
        <v>0</v>
      </c>
      <c r="AJ26" s="302">
        <v>0</v>
      </c>
      <c r="AK26" s="302">
        <v>0</v>
      </c>
      <c r="AL26" s="302">
        <v>0</v>
      </c>
      <c r="AM26" s="302">
        <v>0</v>
      </c>
      <c r="AN26" s="302">
        <v>0</v>
      </c>
      <c r="AO26" s="302">
        <v>0</v>
      </c>
      <c r="AP26" s="302">
        <v>0</v>
      </c>
      <c r="AQ26" s="302">
        <v>0</v>
      </c>
      <c r="AR26" s="302">
        <v>0</v>
      </c>
      <c r="AS26" s="302">
        <v>0</v>
      </c>
      <c r="AT26" s="302">
        <v>0</v>
      </c>
      <c r="AU26" s="302">
        <v>0</v>
      </c>
      <c r="AV26" s="302">
        <v>0</v>
      </c>
      <c r="AW26" s="302">
        <v>0</v>
      </c>
      <c r="AX26" s="302">
        <v>0</v>
      </c>
      <c r="AY26" s="302">
        <v>0</v>
      </c>
      <c r="AZ26" s="302">
        <v>0</v>
      </c>
      <c r="BA26" s="302">
        <v>0</v>
      </c>
      <c r="BB26" s="302">
        <v>0</v>
      </c>
      <c r="BC26" s="302">
        <v>0</v>
      </c>
      <c r="BD26" s="302">
        <v>0</v>
      </c>
      <c r="BE26" s="302">
        <v>0</v>
      </c>
      <c r="BF26" s="302">
        <v>0</v>
      </c>
      <c r="BG26" s="302">
        <v>0</v>
      </c>
      <c r="BH26" s="302">
        <v>0</v>
      </c>
      <c r="BI26" s="302">
        <v>0</v>
      </c>
      <c r="BJ26" s="302">
        <v>0</v>
      </c>
      <c r="BK26" s="302">
        <v>0</v>
      </c>
      <c r="BL26" s="302">
        <v>0</v>
      </c>
      <c r="BM26" s="302">
        <v>0</v>
      </c>
      <c r="BN26" s="302">
        <v>0</v>
      </c>
      <c r="BO26" s="302">
        <v>0</v>
      </c>
      <c r="BP26" s="302">
        <v>0</v>
      </c>
      <c r="BQ26" s="302">
        <v>0</v>
      </c>
      <c r="BR26" s="302">
        <v>0</v>
      </c>
      <c r="BS26" s="302">
        <v>0</v>
      </c>
      <c r="BT26" s="302">
        <v>0</v>
      </c>
      <c r="BU26" s="302">
        <v>0</v>
      </c>
      <c r="BV26" s="302">
        <v>0</v>
      </c>
      <c r="BW26" s="302">
        <v>0</v>
      </c>
      <c r="BX26" s="302">
        <v>0</v>
      </c>
      <c r="BY26" s="302">
        <v>0</v>
      </c>
      <c r="BZ26" s="302">
        <v>0</v>
      </c>
      <c r="CA26" s="302">
        <v>0</v>
      </c>
      <c r="CB26" s="302">
        <v>0</v>
      </c>
      <c r="CC26" s="302">
        <v>0</v>
      </c>
      <c r="CD26" s="302">
        <v>0</v>
      </c>
      <c r="CE26" s="302">
        <v>0</v>
      </c>
      <c r="CF26" s="302">
        <v>0</v>
      </c>
      <c r="CG26" s="302">
        <v>0</v>
      </c>
      <c r="CH26" s="302">
        <v>0</v>
      </c>
      <c r="CI26" s="302">
        <v>0</v>
      </c>
      <c r="CJ26" s="302">
        <v>0</v>
      </c>
      <c r="CK26" s="302">
        <v>0</v>
      </c>
      <c r="CL26" s="302">
        <v>0</v>
      </c>
      <c r="CM26" s="302">
        <v>0</v>
      </c>
      <c r="CN26" s="302">
        <v>0</v>
      </c>
      <c r="CO26" s="302">
        <v>0</v>
      </c>
      <c r="CP26" s="302">
        <v>0</v>
      </c>
      <c r="CQ26" s="302">
        <v>0</v>
      </c>
      <c r="CR26" s="302">
        <v>0</v>
      </c>
      <c r="CS26" s="284">
        <f t="shared" si="0"/>
        <v>0</v>
      </c>
      <c r="EB26" s="170"/>
      <c r="EG26" s="108"/>
      <c r="HK26" s="285"/>
      <c r="HL26" s="285"/>
    </row>
    <row r="27" spans="1:225" ht="12.75" customHeight="1" x14ac:dyDescent="0.2">
      <c r="C27" s="108" t="s">
        <v>285</v>
      </c>
      <c r="D27" s="119">
        <v>254</v>
      </c>
      <c r="E27" s="287"/>
      <c r="F27" s="287"/>
      <c r="G27" s="302">
        <v>0</v>
      </c>
      <c r="H27" s="302">
        <v>0</v>
      </c>
      <c r="I27" s="302">
        <v>0</v>
      </c>
      <c r="J27" s="302">
        <v>0</v>
      </c>
      <c r="K27" s="302">
        <v>0</v>
      </c>
      <c r="L27" s="302">
        <v>0</v>
      </c>
      <c r="M27" s="302">
        <v>0</v>
      </c>
      <c r="N27" s="302">
        <v>0</v>
      </c>
      <c r="O27" s="302">
        <v>0</v>
      </c>
      <c r="P27" s="302">
        <v>0</v>
      </c>
      <c r="Q27" s="302">
        <v>0</v>
      </c>
      <c r="R27" s="302">
        <v>0</v>
      </c>
      <c r="S27" s="302">
        <v>0</v>
      </c>
      <c r="T27" s="302">
        <v>0</v>
      </c>
      <c r="U27" s="302">
        <v>0</v>
      </c>
      <c r="V27" s="302">
        <v>0</v>
      </c>
      <c r="W27" s="302">
        <v>0</v>
      </c>
      <c r="X27" s="302">
        <v>0</v>
      </c>
      <c r="Y27" s="302">
        <v>0</v>
      </c>
      <c r="Z27" s="302">
        <v>0</v>
      </c>
      <c r="AA27" s="302">
        <v>0</v>
      </c>
      <c r="AB27" s="302">
        <v>0</v>
      </c>
      <c r="AC27" s="302">
        <v>0</v>
      </c>
      <c r="AD27" s="302">
        <v>0</v>
      </c>
      <c r="AE27" s="302">
        <v>0</v>
      </c>
      <c r="AF27" s="302">
        <v>0</v>
      </c>
      <c r="AG27" s="302">
        <v>0</v>
      </c>
      <c r="AH27" s="302">
        <v>0</v>
      </c>
      <c r="AI27" s="302">
        <v>0</v>
      </c>
      <c r="AJ27" s="302">
        <v>0</v>
      </c>
      <c r="AK27" s="302">
        <v>0</v>
      </c>
      <c r="AL27" s="302">
        <v>0</v>
      </c>
      <c r="AM27" s="302">
        <v>0</v>
      </c>
      <c r="AN27" s="302">
        <v>0</v>
      </c>
      <c r="AO27" s="302">
        <v>0</v>
      </c>
      <c r="AP27" s="302">
        <v>0</v>
      </c>
      <c r="AQ27" s="302">
        <v>0</v>
      </c>
      <c r="AR27" s="302">
        <v>0</v>
      </c>
      <c r="AS27" s="302">
        <v>0</v>
      </c>
      <c r="AT27" s="302">
        <v>0</v>
      </c>
      <c r="AU27" s="302">
        <v>0</v>
      </c>
      <c r="AV27" s="302">
        <v>0</v>
      </c>
      <c r="AW27" s="302">
        <v>0</v>
      </c>
      <c r="AX27" s="302">
        <v>0</v>
      </c>
      <c r="AY27" s="302">
        <v>0</v>
      </c>
      <c r="AZ27" s="302">
        <v>0</v>
      </c>
      <c r="BA27" s="302">
        <v>0</v>
      </c>
      <c r="BB27" s="302">
        <v>0</v>
      </c>
      <c r="BC27" s="302">
        <v>0</v>
      </c>
      <c r="BD27" s="302">
        <v>0</v>
      </c>
      <c r="BE27" s="302">
        <v>0</v>
      </c>
      <c r="BF27" s="302">
        <v>0</v>
      </c>
      <c r="BG27" s="302">
        <v>0</v>
      </c>
      <c r="BH27" s="302">
        <v>0</v>
      </c>
      <c r="BI27" s="302">
        <v>0</v>
      </c>
      <c r="BJ27" s="302">
        <v>0</v>
      </c>
      <c r="BK27" s="302">
        <v>0</v>
      </c>
      <c r="BL27" s="302">
        <v>0</v>
      </c>
      <c r="BM27" s="302">
        <v>0</v>
      </c>
      <c r="BN27" s="302">
        <v>0</v>
      </c>
      <c r="BO27" s="302">
        <v>0</v>
      </c>
      <c r="BP27" s="302">
        <v>0</v>
      </c>
      <c r="BQ27" s="302">
        <v>0</v>
      </c>
      <c r="BR27" s="302">
        <v>0</v>
      </c>
      <c r="BS27" s="302">
        <v>0</v>
      </c>
      <c r="BT27" s="302">
        <v>0</v>
      </c>
      <c r="BU27" s="302">
        <v>0</v>
      </c>
      <c r="BV27" s="302">
        <v>0</v>
      </c>
      <c r="BW27" s="302">
        <v>0</v>
      </c>
      <c r="BX27" s="302">
        <v>0</v>
      </c>
      <c r="BY27" s="302">
        <v>0</v>
      </c>
      <c r="BZ27" s="302">
        <v>0</v>
      </c>
      <c r="CA27" s="302">
        <v>0</v>
      </c>
      <c r="CB27" s="302">
        <v>0</v>
      </c>
      <c r="CC27" s="302">
        <v>0</v>
      </c>
      <c r="CD27" s="302">
        <v>0</v>
      </c>
      <c r="CE27" s="302">
        <v>0</v>
      </c>
      <c r="CF27" s="302">
        <v>0</v>
      </c>
      <c r="CG27" s="302">
        <v>0</v>
      </c>
      <c r="CH27" s="302">
        <v>0</v>
      </c>
      <c r="CI27" s="302">
        <v>0</v>
      </c>
      <c r="CJ27" s="302">
        <v>0</v>
      </c>
      <c r="CK27" s="302">
        <v>0</v>
      </c>
      <c r="CL27" s="302">
        <v>0</v>
      </c>
      <c r="CM27" s="302">
        <v>0</v>
      </c>
      <c r="CN27" s="302">
        <v>0</v>
      </c>
      <c r="CO27" s="302">
        <v>0</v>
      </c>
      <c r="CP27" s="302">
        <v>0</v>
      </c>
      <c r="CQ27" s="302">
        <v>0</v>
      </c>
      <c r="CR27" s="302">
        <v>0</v>
      </c>
      <c r="CS27" s="284">
        <f t="shared" si="0"/>
        <v>0</v>
      </c>
      <c r="EB27" s="170"/>
      <c r="EG27" s="108"/>
      <c r="HK27" s="285"/>
      <c r="HL27" s="285"/>
    </row>
    <row r="28" spans="1:225" ht="12.75" customHeight="1" x14ac:dyDescent="0.2">
      <c r="C28" s="108" t="s">
        <v>286</v>
      </c>
      <c r="D28" s="119">
        <v>255</v>
      </c>
      <c r="E28" s="287"/>
      <c r="F28" s="287"/>
      <c r="G28" s="302">
        <v>0</v>
      </c>
      <c r="H28" s="302">
        <v>0</v>
      </c>
      <c r="I28" s="302">
        <v>0</v>
      </c>
      <c r="J28" s="302">
        <v>0</v>
      </c>
      <c r="K28" s="302">
        <v>0</v>
      </c>
      <c r="L28" s="302">
        <v>0</v>
      </c>
      <c r="M28" s="302">
        <v>0</v>
      </c>
      <c r="N28" s="302">
        <v>0</v>
      </c>
      <c r="O28" s="302">
        <v>0</v>
      </c>
      <c r="P28" s="302">
        <v>0</v>
      </c>
      <c r="Q28" s="302">
        <v>0</v>
      </c>
      <c r="R28" s="302">
        <v>0</v>
      </c>
      <c r="S28" s="302">
        <v>0</v>
      </c>
      <c r="T28" s="302">
        <v>0</v>
      </c>
      <c r="U28" s="302">
        <v>0</v>
      </c>
      <c r="V28" s="302">
        <v>0</v>
      </c>
      <c r="W28" s="302">
        <v>0</v>
      </c>
      <c r="X28" s="302">
        <v>0</v>
      </c>
      <c r="Y28" s="302">
        <v>0</v>
      </c>
      <c r="Z28" s="302">
        <v>0</v>
      </c>
      <c r="AA28" s="302">
        <v>0</v>
      </c>
      <c r="AB28" s="302">
        <v>0</v>
      </c>
      <c r="AC28" s="302">
        <v>0</v>
      </c>
      <c r="AD28" s="302">
        <v>0</v>
      </c>
      <c r="AE28" s="302">
        <v>0</v>
      </c>
      <c r="AF28" s="302">
        <v>0</v>
      </c>
      <c r="AG28" s="302">
        <v>0</v>
      </c>
      <c r="AH28" s="302">
        <v>0</v>
      </c>
      <c r="AI28" s="302">
        <v>0</v>
      </c>
      <c r="AJ28" s="302">
        <v>0</v>
      </c>
      <c r="AK28" s="302">
        <v>0</v>
      </c>
      <c r="AL28" s="302">
        <v>0</v>
      </c>
      <c r="AM28" s="302">
        <v>0</v>
      </c>
      <c r="AN28" s="302">
        <v>0</v>
      </c>
      <c r="AO28" s="302">
        <v>0</v>
      </c>
      <c r="AP28" s="302">
        <v>0</v>
      </c>
      <c r="AQ28" s="302">
        <v>0</v>
      </c>
      <c r="AR28" s="302">
        <v>0</v>
      </c>
      <c r="AS28" s="302">
        <v>0</v>
      </c>
      <c r="AT28" s="302">
        <v>0</v>
      </c>
      <c r="AU28" s="302">
        <v>0</v>
      </c>
      <c r="AV28" s="302">
        <v>0</v>
      </c>
      <c r="AW28" s="302">
        <v>0</v>
      </c>
      <c r="AX28" s="302">
        <v>0</v>
      </c>
      <c r="AY28" s="302">
        <v>0</v>
      </c>
      <c r="AZ28" s="302">
        <v>0</v>
      </c>
      <c r="BA28" s="302">
        <v>0</v>
      </c>
      <c r="BB28" s="302">
        <v>0</v>
      </c>
      <c r="BC28" s="302">
        <v>0</v>
      </c>
      <c r="BD28" s="302">
        <v>0</v>
      </c>
      <c r="BE28" s="302">
        <v>0</v>
      </c>
      <c r="BF28" s="302">
        <v>0</v>
      </c>
      <c r="BG28" s="302">
        <v>0</v>
      </c>
      <c r="BH28" s="302">
        <v>0</v>
      </c>
      <c r="BI28" s="302">
        <v>0</v>
      </c>
      <c r="BJ28" s="302">
        <v>0</v>
      </c>
      <c r="BK28" s="302">
        <v>0</v>
      </c>
      <c r="BL28" s="302">
        <v>0</v>
      </c>
      <c r="BM28" s="302">
        <v>0</v>
      </c>
      <c r="BN28" s="302">
        <v>0</v>
      </c>
      <c r="BO28" s="302">
        <v>0</v>
      </c>
      <c r="BP28" s="302">
        <v>0</v>
      </c>
      <c r="BQ28" s="302">
        <v>0</v>
      </c>
      <c r="BR28" s="302">
        <v>0</v>
      </c>
      <c r="BS28" s="302">
        <v>0</v>
      </c>
      <c r="BT28" s="302">
        <v>0</v>
      </c>
      <c r="BU28" s="302">
        <v>0</v>
      </c>
      <c r="BV28" s="302">
        <v>0</v>
      </c>
      <c r="BW28" s="302">
        <v>0</v>
      </c>
      <c r="BX28" s="302">
        <v>0</v>
      </c>
      <c r="BY28" s="302">
        <v>0</v>
      </c>
      <c r="BZ28" s="302">
        <v>0</v>
      </c>
      <c r="CA28" s="302">
        <v>0</v>
      </c>
      <c r="CB28" s="302">
        <v>0</v>
      </c>
      <c r="CC28" s="302">
        <v>0</v>
      </c>
      <c r="CD28" s="302">
        <v>0</v>
      </c>
      <c r="CE28" s="302">
        <v>0</v>
      </c>
      <c r="CF28" s="302">
        <v>0</v>
      </c>
      <c r="CG28" s="302">
        <v>0</v>
      </c>
      <c r="CH28" s="302">
        <v>0</v>
      </c>
      <c r="CI28" s="302">
        <v>0</v>
      </c>
      <c r="CJ28" s="302">
        <v>0</v>
      </c>
      <c r="CK28" s="302">
        <v>0</v>
      </c>
      <c r="CL28" s="302">
        <v>0</v>
      </c>
      <c r="CM28" s="302">
        <v>0</v>
      </c>
      <c r="CN28" s="302">
        <v>0</v>
      </c>
      <c r="CO28" s="302">
        <v>0</v>
      </c>
      <c r="CP28" s="302">
        <v>0</v>
      </c>
      <c r="CQ28" s="302">
        <v>0</v>
      </c>
      <c r="CR28" s="302">
        <v>0</v>
      </c>
      <c r="CS28" s="284">
        <f t="shared" si="0"/>
        <v>0</v>
      </c>
      <c r="EB28" s="170"/>
      <c r="EG28" s="108"/>
      <c r="HK28" s="285"/>
      <c r="HL28" s="285"/>
    </row>
    <row r="29" spans="1:225" ht="12.75" customHeight="1" x14ac:dyDescent="0.2">
      <c r="C29" s="108" t="s">
        <v>287</v>
      </c>
      <c r="D29" s="119">
        <v>255</v>
      </c>
      <c r="E29" s="287"/>
      <c r="F29" s="287"/>
      <c r="G29" s="302">
        <v>0</v>
      </c>
      <c r="H29" s="302">
        <v>0</v>
      </c>
      <c r="I29" s="302">
        <v>0</v>
      </c>
      <c r="J29" s="302">
        <v>0</v>
      </c>
      <c r="K29" s="302">
        <v>0</v>
      </c>
      <c r="L29" s="302">
        <v>0</v>
      </c>
      <c r="M29" s="302">
        <v>0</v>
      </c>
      <c r="N29" s="302">
        <v>0</v>
      </c>
      <c r="O29" s="302">
        <v>0</v>
      </c>
      <c r="P29" s="302">
        <v>0</v>
      </c>
      <c r="Q29" s="302">
        <v>0</v>
      </c>
      <c r="R29" s="302">
        <v>0</v>
      </c>
      <c r="S29" s="302">
        <v>0</v>
      </c>
      <c r="T29" s="302">
        <v>0</v>
      </c>
      <c r="U29" s="302">
        <v>0</v>
      </c>
      <c r="V29" s="302">
        <v>0</v>
      </c>
      <c r="W29" s="302">
        <v>0</v>
      </c>
      <c r="X29" s="302">
        <v>0</v>
      </c>
      <c r="Y29" s="302">
        <v>0</v>
      </c>
      <c r="Z29" s="302">
        <v>0</v>
      </c>
      <c r="AA29" s="302">
        <v>0</v>
      </c>
      <c r="AB29" s="302">
        <v>0</v>
      </c>
      <c r="AC29" s="302">
        <v>0</v>
      </c>
      <c r="AD29" s="302">
        <v>0</v>
      </c>
      <c r="AE29" s="302">
        <v>0</v>
      </c>
      <c r="AF29" s="302">
        <v>0</v>
      </c>
      <c r="AG29" s="302">
        <v>0</v>
      </c>
      <c r="AH29" s="302">
        <v>0</v>
      </c>
      <c r="AI29" s="302">
        <v>0</v>
      </c>
      <c r="AJ29" s="302">
        <v>0</v>
      </c>
      <c r="AK29" s="302">
        <v>0</v>
      </c>
      <c r="AL29" s="302">
        <v>0</v>
      </c>
      <c r="AM29" s="302">
        <v>0</v>
      </c>
      <c r="AN29" s="302">
        <v>0</v>
      </c>
      <c r="AO29" s="302">
        <v>0</v>
      </c>
      <c r="AP29" s="302">
        <v>0</v>
      </c>
      <c r="AQ29" s="302">
        <v>0</v>
      </c>
      <c r="AR29" s="302">
        <v>0</v>
      </c>
      <c r="AS29" s="302">
        <v>0</v>
      </c>
      <c r="AT29" s="302">
        <v>0</v>
      </c>
      <c r="AU29" s="302">
        <v>0</v>
      </c>
      <c r="AV29" s="302">
        <v>0</v>
      </c>
      <c r="AW29" s="302">
        <v>0</v>
      </c>
      <c r="AX29" s="302">
        <v>0</v>
      </c>
      <c r="AY29" s="302">
        <v>0</v>
      </c>
      <c r="AZ29" s="302">
        <v>0</v>
      </c>
      <c r="BA29" s="302">
        <v>0</v>
      </c>
      <c r="BB29" s="302">
        <v>0</v>
      </c>
      <c r="BC29" s="302">
        <v>0</v>
      </c>
      <c r="BD29" s="302">
        <v>0</v>
      </c>
      <c r="BE29" s="302">
        <v>0</v>
      </c>
      <c r="BF29" s="302">
        <v>0</v>
      </c>
      <c r="BG29" s="302">
        <v>0</v>
      </c>
      <c r="BH29" s="302">
        <v>0</v>
      </c>
      <c r="BI29" s="302">
        <v>0</v>
      </c>
      <c r="BJ29" s="302">
        <v>0</v>
      </c>
      <c r="BK29" s="302">
        <v>0</v>
      </c>
      <c r="BL29" s="302">
        <v>0</v>
      </c>
      <c r="BM29" s="302">
        <v>0</v>
      </c>
      <c r="BN29" s="302">
        <v>0</v>
      </c>
      <c r="BO29" s="302">
        <v>0</v>
      </c>
      <c r="BP29" s="302">
        <v>0</v>
      </c>
      <c r="BQ29" s="302">
        <v>0</v>
      </c>
      <c r="BR29" s="302">
        <v>0</v>
      </c>
      <c r="BS29" s="302">
        <v>0</v>
      </c>
      <c r="BT29" s="302">
        <v>0</v>
      </c>
      <c r="BU29" s="302">
        <v>0</v>
      </c>
      <c r="BV29" s="302">
        <v>0</v>
      </c>
      <c r="BW29" s="302">
        <v>0</v>
      </c>
      <c r="BX29" s="302">
        <v>0</v>
      </c>
      <c r="BY29" s="302">
        <v>0</v>
      </c>
      <c r="BZ29" s="302">
        <v>0</v>
      </c>
      <c r="CA29" s="302">
        <v>0</v>
      </c>
      <c r="CB29" s="302">
        <v>0</v>
      </c>
      <c r="CC29" s="302">
        <v>0</v>
      </c>
      <c r="CD29" s="302">
        <v>0</v>
      </c>
      <c r="CE29" s="302">
        <v>0</v>
      </c>
      <c r="CF29" s="302">
        <v>0</v>
      </c>
      <c r="CG29" s="302">
        <v>0</v>
      </c>
      <c r="CH29" s="302">
        <v>0</v>
      </c>
      <c r="CI29" s="302">
        <v>0</v>
      </c>
      <c r="CJ29" s="302">
        <v>0</v>
      </c>
      <c r="CK29" s="302">
        <v>0</v>
      </c>
      <c r="CL29" s="302">
        <v>0</v>
      </c>
      <c r="CM29" s="302">
        <v>0</v>
      </c>
      <c r="CN29" s="302">
        <v>0</v>
      </c>
      <c r="CO29" s="302">
        <v>0</v>
      </c>
      <c r="CP29" s="302">
        <v>0</v>
      </c>
      <c r="CQ29" s="302">
        <v>0</v>
      </c>
      <c r="CR29" s="302">
        <v>0</v>
      </c>
      <c r="CS29" s="284">
        <f t="shared" si="0"/>
        <v>0</v>
      </c>
      <c r="EB29" s="170"/>
      <c r="EG29" s="108"/>
      <c r="HK29" s="285"/>
      <c r="HL29" s="285"/>
    </row>
    <row r="30" spans="1:225" ht="12.75" customHeight="1" x14ac:dyDescent="0.2">
      <c r="C30" s="108" t="s">
        <v>288</v>
      </c>
      <c r="D30" s="119">
        <v>255</v>
      </c>
      <c r="E30" s="287"/>
      <c r="F30" s="287"/>
      <c r="G30" s="302">
        <v>0</v>
      </c>
      <c r="H30" s="302">
        <v>0</v>
      </c>
      <c r="I30" s="302">
        <v>0</v>
      </c>
      <c r="J30" s="302">
        <v>0</v>
      </c>
      <c r="K30" s="302">
        <v>0</v>
      </c>
      <c r="L30" s="302">
        <v>0</v>
      </c>
      <c r="M30" s="302">
        <v>0</v>
      </c>
      <c r="N30" s="302">
        <v>0</v>
      </c>
      <c r="O30" s="302">
        <v>0</v>
      </c>
      <c r="P30" s="302">
        <v>0</v>
      </c>
      <c r="Q30" s="302">
        <v>0</v>
      </c>
      <c r="R30" s="302">
        <v>0</v>
      </c>
      <c r="S30" s="302">
        <v>0</v>
      </c>
      <c r="T30" s="302">
        <v>0</v>
      </c>
      <c r="U30" s="302">
        <v>0</v>
      </c>
      <c r="V30" s="302">
        <v>0</v>
      </c>
      <c r="W30" s="302">
        <v>0</v>
      </c>
      <c r="X30" s="302">
        <v>0</v>
      </c>
      <c r="Y30" s="302">
        <v>0</v>
      </c>
      <c r="Z30" s="302">
        <v>0</v>
      </c>
      <c r="AA30" s="302">
        <v>0</v>
      </c>
      <c r="AB30" s="302">
        <v>0</v>
      </c>
      <c r="AC30" s="302">
        <v>0</v>
      </c>
      <c r="AD30" s="302">
        <v>0</v>
      </c>
      <c r="AE30" s="302">
        <v>0</v>
      </c>
      <c r="AF30" s="302">
        <v>0</v>
      </c>
      <c r="AG30" s="302">
        <v>0</v>
      </c>
      <c r="AH30" s="302">
        <v>0</v>
      </c>
      <c r="AI30" s="302">
        <v>0</v>
      </c>
      <c r="AJ30" s="302">
        <v>0</v>
      </c>
      <c r="AK30" s="302">
        <v>0</v>
      </c>
      <c r="AL30" s="302">
        <v>0</v>
      </c>
      <c r="AM30" s="302">
        <v>0</v>
      </c>
      <c r="AN30" s="302">
        <v>0</v>
      </c>
      <c r="AO30" s="302">
        <v>0</v>
      </c>
      <c r="AP30" s="302">
        <v>0</v>
      </c>
      <c r="AQ30" s="302">
        <v>0</v>
      </c>
      <c r="AR30" s="302">
        <v>0</v>
      </c>
      <c r="AS30" s="302">
        <v>0</v>
      </c>
      <c r="AT30" s="302">
        <v>0</v>
      </c>
      <c r="AU30" s="302">
        <v>0</v>
      </c>
      <c r="AV30" s="302">
        <v>0</v>
      </c>
      <c r="AW30" s="302">
        <v>0</v>
      </c>
      <c r="AX30" s="302">
        <v>0</v>
      </c>
      <c r="AY30" s="302">
        <v>0</v>
      </c>
      <c r="AZ30" s="302">
        <v>0</v>
      </c>
      <c r="BA30" s="302">
        <v>0</v>
      </c>
      <c r="BB30" s="302">
        <v>0</v>
      </c>
      <c r="BC30" s="302">
        <v>0</v>
      </c>
      <c r="BD30" s="302">
        <v>0</v>
      </c>
      <c r="BE30" s="302">
        <v>1</v>
      </c>
      <c r="BF30" s="302">
        <v>0</v>
      </c>
      <c r="BG30" s="302">
        <v>0</v>
      </c>
      <c r="BH30" s="302">
        <v>0</v>
      </c>
      <c r="BI30" s="302">
        <v>0</v>
      </c>
      <c r="BJ30" s="302">
        <v>0</v>
      </c>
      <c r="BK30" s="302">
        <v>0</v>
      </c>
      <c r="BL30" s="302">
        <v>0</v>
      </c>
      <c r="BM30" s="302">
        <v>0</v>
      </c>
      <c r="BN30" s="302">
        <v>0</v>
      </c>
      <c r="BO30" s="302">
        <v>0</v>
      </c>
      <c r="BP30" s="302">
        <v>0</v>
      </c>
      <c r="BQ30" s="302">
        <v>0</v>
      </c>
      <c r="BR30" s="302">
        <v>0</v>
      </c>
      <c r="BS30" s="302">
        <v>0</v>
      </c>
      <c r="BT30" s="302">
        <v>0</v>
      </c>
      <c r="BU30" s="302">
        <v>0</v>
      </c>
      <c r="BV30" s="302">
        <v>0</v>
      </c>
      <c r="BW30" s="302">
        <v>0</v>
      </c>
      <c r="BX30" s="302">
        <v>0</v>
      </c>
      <c r="BY30" s="302">
        <v>0</v>
      </c>
      <c r="BZ30" s="302">
        <v>0</v>
      </c>
      <c r="CA30" s="302">
        <v>0</v>
      </c>
      <c r="CB30" s="302">
        <v>0</v>
      </c>
      <c r="CC30" s="302">
        <v>0</v>
      </c>
      <c r="CD30" s="302">
        <v>0</v>
      </c>
      <c r="CE30" s="302">
        <v>0</v>
      </c>
      <c r="CF30" s="302">
        <v>0</v>
      </c>
      <c r="CG30" s="302">
        <v>0</v>
      </c>
      <c r="CH30" s="302">
        <v>0</v>
      </c>
      <c r="CI30" s="302">
        <v>0</v>
      </c>
      <c r="CJ30" s="302">
        <v>0</v>
      </c>
      <c r="CK30" s="302">
        <v>30.67</v>
      </c>
      <c r="CL30" s="302">
        <v>0</v>
      </c>
      <c r="CM30" s="302">
        <v>0</v>
      </c>
      <c r="CN30" s="302">
        <v>0</v>
      </c>
      <c r="CO30" s="302">
        <v>0</v>
      </c>
      <c r="CP30" s="302">
        <v>0</v>
      </c>
      <c r="CQ30" s="302">
        <v>0</v>
      </c>
      <c r="CR30" s="302">
        <v>0</v>
      </c>
      <c r="CS30" s="284">
        <f t="shared" si="0"/>
        <v>31.67</v>
      </c>
      <c r="EB30" s="170"/>
      <c r="EG30" s="108"/>
      <c r="HK30" s="285"/>
      <c r="HL30" s="285"/>
    </row>
    <row r="31" spans="1:225" ht="12.75" customHeight="1" x14ac:dyDescent="0.2">
      <c r="C31" s="108" t="s">
        <v>289</v>
      </c>
      <c r="D31" s="119">
        <v>300</v>
      </c>
      <c r="E31" s="287"/>
      <c r="F31" s="287"/>
      <c r="G31" s="302">
        <v>0</v>
      </c>
      <c r="H31" s="302">
        <v>0</v>
      </c>
      <c r="I31" s="302">
        <v>0</v>
      </c>
      <c r="J31" s="302">
        <v>0</v>
      </c>
      <c r="K31" s="302">
        <v>11.51</v>
      </c>
      <c r="L31" s="302">
        <v>26.03</v>
      </c>
      <c r="M31" s="302">
        <v>0</v>
      </c>
      <c r="N31" s="302">
        <v>0</v>
      </c>
      <c r="O31" s="302">
        <v>0</v>
      </c>
      <c r="P31" s="302">
        <v>0</v>
      </c>
      <c r="Q31" s="302">
        <v>0</v>
      </c>
      <c r="R31" s="302">
        <v>0</v>
      </c>
      <c r="S31" s="302">
        <v>0</v>
      </c>
      <c r="T31" s="302">
        <v>0</v>
      </c>
      <c r="U31" s="302">
        <v>0</v>
      </c>
      <c r="V31" s="302">
        <v>0</v>
      </c>
      <c r="W31" s="302">
        <v>0</v>
      </c>
      <c r="X31" s="302">
        <v>0</v>
      </c>
      <c r="Y31" s="302">
        <v>0</v>
      </c>
      <c r="Z31" s="302">
        <v>0</v>
      </c>
      <c r="AA31" s="302">
        <v>0</v>
      </c>
      <c r="AB31" s="302">
        <v>0</v>
      </c>
      <c r="AC31" s="302">
        <v>0</v>
      </c>
      <c r="AD31" s="302">
        <v>0</v>
      </c>
      <c r="AE31" s="302">
        <v>0</v>
      </c>
      <c r="AF31" s="302">
        <v>0</v>
      </c>
      <c r="AG31" s="302">
        <v>0</v>
      </c>
      <c r="AH31" s="302">
        <v>0</v>
      </c>
      <c r="AI31" s="302">
        <v>0</v>
      </c>
      <c r="AJ31" s="302">
        <v>0</v>
      </c>
      <c r="AK31" s="302">
        <v>0</v>
      </c>
      <c r="AL31" s="302">
        <v>0</v>
      </c>
      <c r="AM31" s="302">
        <v>0</v>
      </c>
      <c r="AN31" s="302">
        <v>0</v>
      </c>
      <c r="AO31" s="302">
        <v>90</v>
      </c>
      <c r="AP31" s="302">
        <v>0</v>
      </c>
      <c r="AQ31" s="302">
        <v>0</v>
      </c>
      <c r="AR31" s="302">
        <v>51</v>
      </c>
      <c r="AS31" s="302">
        <v>0</v>
      </c>
      <c r="AT31" s="302">
        <v>0</v>
      </c>
      <c r="AU31" s="302">
        <v>0</v>
      </c>
      <c r="AV31" s="302"/>
      <c r="AW31" s="302">
        <v>0</v>
      </c>
      <c r="AX31" s="302">
        <v>0</v>
      </c>
      <c r="AY31" s="302">
        <v>0</v>
      </c>
      <c r="AZ31" s="302">
        <v>0</v>
      </c>
      <c r="BA31" s="302">
        <v>0</v>
      </c>
      <c r="BB31" s="302">
        <v>0</v>
      </c>
      <c r="BC31" s="302">
        <v>0</v>
      </c>
      <c r="BD31" s="302">
        <v>0</v>
      </c>
      <c r="BE31" s="302">
        <v>0</v>
      </c>
      <c r="BF31" s="302">
        <v>115.25</v>
      </c>
      <c r="BG31" s="302">
        <v>0</v>
      </c>
      <c r="BH31" s="302">
        <v>0</v>
      </c>
      <c r="BI31" s="302">
        <v>0</v>
      </c>
      <c r="BJ31" s="302">
        <v>0</v>
      </c>
      <c r="BK31" s="302">
        <v>0</v>
      </c>
      <c r="BL31" s="302">
        <v>0</v>
      </c>
      <c r="BM31" s="302">
        <v>0</v>
      </c>
      <c r="BN31" s="302">
        <v>0</v>
      </c>
      <c r="BO31" s="302">
        <v>0</v>
      </c>
      <c r="BP31" s="302">
        <v>0</v>
      </c>
      <c r="BQ31" s="302">
        <v>0</v>
      </c>
      <c r="BR31" s="302">
        <v>0</v>
      </c>
      <c r="BS31" s="302">
        <v>0</v>
      </c>
      <c r="BT31" s="302">
        <v>0</v>
      </c>
      <c r="BU31" s="302">
        <v>0</v>
      </c>
      <c r="BV31" s="302">
        <v>0</v>
      </c>
      <c r="BW31" s="302">
        <v>0</v>
      </c>
      <c r="BX31" s="302">
        <v>34.99</v>
      </c>
      <c r="BY31" s="302">
        <v>0</v>
      </c>
      <c r="BZ31" s="302">
        <v>0</v>
      </c>
      <c r="CA31" s="302">
        <v>0</v>
      </c>
      <c r="CB31" s="302">
        <v>0</v>
      </c>
      <c r="CC31" s="302">
        <v>0</v>
      </c>
      <c r="CD31" s="302">
        <v>0</v>
      </c>
      <c r="CE31" s="302">
        <v>0</v>
      </c>
      <c r="CF31" s="302">
        <v>0</v>
      </c>
      <c r="CG31" s="302">
        <v>0</v>
      </c>
      <c r="CH31" s="302">
        <v>0</v>
      </c>
      <c r="CI31" s="302">
        <v>0</v>
      </c>
      <c r="CJ31" s="302">
        <v>0</v>
      </c>
      <c r="CK31" s="302">
        <v>7.43</v>
      </c>
      <c r="CL31" s="302">
        <v>0</v>
      </c>
      <c r="CM31" s="302">
        <v>0</v>
      </c>
      <c r="CN31" s="302">
        <v>0</v>
      </c>
      <c r="CO31" s="302">
        <v>0</v>
      </c>
      <c r="CP31" s="302">
        <v>0</v>
      </c>
      <c r="CQ31" s="302">
        <v>0</v>
      </c>
      <c r="CR31" s="302">
        <v>0</v>
      </c>
      <c r="CS31" s="284">
        <f t="shared" si="0"/>
        <v>336.21</v>
      </c>
      <c r="EB31" s="170"/>
      <c r="EG31" s="108"/>
      <c r="HK31" s="285"/>
      <c r="HL31" s="285"/>
    </row>
    <row r="32" spans="1:225" s="107" customFormat="1" ht="12.75" customHeight="1" x14ac:dyDescent="0.25">
      <c r="A32" s="254" t="s">
        <v>291</v>
      </c>
      <c r="B32" s="255"/>
      <c r="C32" s="426" t="s">
        <v>413</v>
      </c>
      <c r="D32" s="427"/>
      <c r="E32" s="256">
        <f>SUM(E16:E31)</f>
        <v>0</v>
      </c>
      <c r="F32" s="256">
        <f>SUM(F16:F31)</f>
        <v>55</v>
      </c>
      <c r="G32" s="257">
        <f t="shared" ref="G32:BM32" si="1">SUM(G16:G31)</f>
        <v>295</v>
      </c>
      <c r="H32" s="257">
        <f t="shared" si="1"/>
        <v>163</v>
      </c>
      <c r="I32" s="257">
        <f t="shared" si="1"/>
        <v>730</v>
      </c>
      <c r="J32" s="257">
        <f t="shared" si="1"/>
        <v>163</v>
      </c>
      <c r="K32" s="257">
        <f t="shared" si="1"/>
        <v>362</v>
      </c>
      <c r="L32" s="257">
        <f t="shared" si="1"/>
        <v>298.53999999999996</v>
      </c>
      <c r="M32" s="257">
        <f t="shared" si="1"/>
        <v>363.5</v>
      </c>
      <c r="N32" s="257">
        <f t="shared" si="1"/>
        <v>1370</v>
      </c>
      <c r="O32" s="257">
        <f t="shared" si="1"/>
        <v>1390</v>
      </c>
      <c r="P32" s="257">
        <f t="shared" si="1"/>
        <v>555</v>
      </c>
      <c r="Q32" s="257">
        <f t="shared" si="1"/>
        <v>1050</v>
      </c>
      <c r="R32" s="257">
        <f t="shared" si="1"/>
        <v>1471</v>
      </c>
      <c r="S32" s="257">
        <f t="shared" si="1"/>
        <v>501.45</v>
      </c>
      <c r="T32" s="257"/>
      <c r="U32" s="257">
        <f t="shared" si="1"/>
        <v>1035.67</v>
      </c>
      <c r="V32" s="257">
        <f t="shared" si="1"/>
        <v>1050</v>
      </c>
      <c r="W32" s="257">
        <f t="shared" si="1"/>
        <v>277</v>
      </c>
      <c r="X32" s="257">
        <f t="shared" si="1"/>
        <v>96</v>
      </c>
      <c r="Y32" s="257">
        <f t="shared" si="1"/>
        <v>447</v>
      </c>
      <c r="Z32" s="257">
        <f t="shared" si="1"/>
        <v>280.95999999999998</v>
      </c>
      <c r="AA32" s="257">
        <f t="shared" si="1"/>
        <v>1331</v>
      </c>
      <c r="AB32" s="257">
        <f t="shared" si="1"/>
        <v>329.5</v>
      </c>
      <c r="AC32" s="257">
        <f t="shared" si="1"/>
        <v>1220</v>
      </c>
      <c r="AD32" s="257">
        <f t="shared" si="1"/>
        <v>423</v>
      </c>
      <c r="AE32" s="257">
        <f t="shared" si="1"/>
        <v>1042</v>
      </c>
      <c r="AF32" s="257">
        <f t="shared" si="1"/>
        <v>1470.92</v>
      </c>
      <c r="AG32" s="257">
        <f t="shared" si="1"/>
        <v>1211.21</v>
      </c>
      <c r="AH32" s="257">
        <f t="shared" si="1"/>
        <v>1900</v>
      </c>
      <c r="AI32" s="257">
        <f t="shared" si="1"/>
        <v>728</v>
      </c>
      <c r="AJ32" s="257">
        <f t="shared" si="1"/>
        <v>300</v>
      </c>
      <c r="AK32" s="257">
        <f t="shared" si="1"/>
        <v>215</v>
      </c>
      <c r="AL32" s="257">
        <f t="shared" si="1"/>
        <v>1000</v>
      </c>
      <c r="AM32" s="257">
        <f t="shared" si="1"/>
        <v>306.38</v>
      </c>
      <c r="AN32" s="257">
        <f t="shared" si="1"/>
        <v>1334</v>
      </c>
      <c r="AO32" s="257">
        <f t="shared" si="1"/>
        <v>1708</v>
      </c>
      <c r="AP32" s="257">
        <f t="shared" si="1"/>
        <v>1062</v>
      </c>
      <c r="AQ32" s="257">
        <f t="shared" si="1"/>
        <v>366</v>
      </c>
      <c r="AR32" s="257">
        <f t="shared" si="1"/>
        <v>2100</v>
      </c>
      <c r="AS32" s="257">
        <f t="shared" si="1"/>
        <v>300</v>
      </c>
      <c r="AT32" s="257">
        <f t="shared" si="1"/>
        <v>646</v>
      </c>
      <c r="AU32" s="257">
        <f t="shared" si="1"/>
        <v>1275</v>
      </c>
      <c r="AV32" s="257">
        <f t="shared" si="1"/>
        <v>1050</v>
      </c>
      <c r="AW32" s="257">
        <f t="shared" si="1"/>
        <v>675</v>
      </c>
      <c r="AX32" s="257">
        <f t="shared" si="1"/>
        <v>145</v>
      </c>
      <c r="AY32" s="257">
        <f t="shared" si="1"/>
        <v>414.53000000000003</v>
      </c>
      <c r="AZ32" s="257">
        <f t="shared" si="1"/>
        <v>440</v>
      </c>
      <c r="BA32" s="257">
        <f t="shared" si="1"/>
        <v>116</v>
      </c>
      <c r="BB32" s="257">
        <f t="shared" si="1"/>
        <v>240</v>
      </c>
      <c r="BC32" s="257">
        <f t="shared" si="1"/>
        <v>150</v>
      </c>
      <c r="BD32" s="257">
        <f t="shared" si="1"/>
        <v>273</v>
      </c>
      <c r="BE32" s="257">
        <f t="shared" si="1"/>
        <v>205</v>
      </c>
      <c r="BF32" s="257">
        <f t="shared" si="1"/>
        <v>1452.9999999999998</v>
      </c>
      <c r="BG32" s="257">
        <f t="shared" si="1"/>
        <v>330</v>
      </c>
      <c r="BH32" s="257">
        <f t="shared" si="1"/>
        <v>286</v>
      </c>
      <c r="BI32" s="257">
        <f t="shared" si="1"/>
        <v>304.22000000000003</v>
      </c>
      <c r="BJ32" s="257">
        <f t="shared" si="1"/>
        <v>348</v>
      </c>
      <c r="BK32" s="257">
        <f t="shared" si="1"/>
        <v>358.39000000000004</v>
      </c>
      <c r="BL32" s="257">
        <f t="shared" si="1"/>
        <v>473</v>
      </c>
      <c r="BM32" s="257">
        <f t="shared" si="1"/>
        <v>1166</v>
      </c>
      <c r="BN32" s="257">
        <f t="shared" ref="BN32:CS32" si="2">SUM(BN16:BN31)</f>
        <v>303</v>
      </c>
      <c r="BO32" s="257">
        <f t="shared" si="2"/>
        <v>53</v>
      </c>
      <c r="BP32" s="257">
        <f t="shared" si="2"/>
        <v>308</v>
      </c>
      <c r="BQ32" s="257">
        <f t="shared" si="2"/>
        <v>474</v>
      </c>
      <c r="BR32" s="257">
        <f t="shared" si="2"/>
        <v>372</v>
      </c>
      <c r="BS32" s="257">
        <f t="shared" si="2"/>
        <v>135</v>
      </c>
      <c r="BT32" s="257">
        <f t="shared" si="2"/>
        <v>400</v>
      </c>
      <c r="BU32" s="257">
        <f t="shared" si="2"/>
        <v>144</v>
      </c>
      <c r="BV32" s="257">
        <f t="shared" si="2"/>
        <v>211</v>
      </c>
      <c r="BW32" s="257">
        <f t="shared" si="2"/>
        <v>259</v>
      </c>
      <c r="BX32" s="257">
        <f t="shared" si="2"/>
        <v>394</v>
      </c>
      <c r="BY32" s="257">
        <f t="shared" si="2"/>
        <v>226</v>
      </c>
      <c r="BZ32" s="257">
        <f t="shared" si="2"/>
        <v>517</v>
      </c>
      <c r="CA32" s="257">
        <f t="shared" si="2"/>
        <v>430</v>
      </c>
      <c r="CB32" s="257">
        <f t="shared" si="2"/>
        <v>165.5</v>
      </c>
      <c r="CC32" s="257">
        <f t="shared" si="2"/>
        <v>351</v>
      </c>
      <c r="CD32" s="257">
        <f t="shared" si="2"/>
        <v>350</v>
      </c>
      <c r="CE32" s="257">
        <f t="shared" si="2"/>
        <v>104</v>
      </c>
      <c r="CF32" s="257">
        <f t="shared" si="2"/>
        <v>260</v>
      </c>
      <c r="CG32" s="257">
        <f t="shared" si="2"/>
        <v>362</v>
      </c>
      <c r="CH32" s="257">
        <f t="shared" si="2"/>
        <v>485</v>
      </c>
      <c r="CI32" s="257">
        <f t="shared" si="2"/>
        <v>348.46000000000004</v>
      </c>
      <c r="CJ32" s="257">
        <f t="shared" si="2"/>
        <v>400</v>
      </c>
      <c r="CK32" s="257">
        <f>SUM(CK16:CK31)</f>
        <v>229</v>
      </c>
      <c r="CL32" s="257">
        <f>SUM(CL16:CL31)</f>
        <v>300.00000000000006</v>
      </c>
      <c r="CM32" s="257">
        <f t="shared" si="2"/>
        <v>1172</v>
      </c>
      <c r="CN32" s="257">
        <f t="shared" si="2"/>
        <v>200</v>
      </c>
      <c r="CO32" s="257">
        <f t="shared" si="2"/>
        <v>1074</v>
      </c>
      <c r="CP32" s="257">
        <f t="shared" si="2"/>
        <v>81</v>
      </c>
      <c r="CQ32" s="257">
        <f t="shared" si="2"/>
        <v>125</v>
      </c>
      <c r="CR32" s="257">
        <f t="shared" ref="CR32" si="3">SUM(CR16:CR31)</f>
        <v>318.02</v>
      </c>
      <c r="CS32" s="257">
        <f t="shared" si="2"/>
        <v>51267.249999999993</v>
      </c>
      <c r="EG32" s="258"/>
      <c r="HP32" s="138"/>
      <c r="HQ32" s="138"/>
    </row>
    <row r="33" spans="1:146" ht="12.75" customHeight="1" x14ac:dyDescent="0.25">
      <c r="A33" s="270"/>
      <c r="B33" s="270"/>
      <c r="C33" s="270"/>
      <c r="D33" s="270"/>
      <c r="E33" s="271"/>
      <c r="F33" s="271"/>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c r="BS33" s="272"/>
      <c r="BT33" s="272"/>
      <c r="BU33" s="272"/>
      <c r="BV33" s="272"/>
      <c r="BW33" s="272"/>
      <c r="BX33" s="272"/>
      <c r="BY33" s="272"/>
      <c r="BZ33" s="272"/>
      <c r="CA33" s="272"/>
      <c r="CB33" s="272"/>
      <c r="CC33" s="272"/>
      <c r="CD33" s="272"/>
      <c r="CE33" s="272"/>
      <c r="CF33" s="272"/>
      <c r="CG33" s="272"/>
      <c r="CH33" s="272"/>
      <c r="CI33" s="272"/>
      <c r="CJ33" s="272"/>
      <c r="CK33" s="271"/>
      <c r="CL33" s="271"/>
      <c r="CM33" s="272"/>
      <c r="CN33" s="272"/>
      <c r="CO33" s="272"/>
      <c r="CP33" s="273"/>
      <c r="CQ33" s="306"/>
      <c r="CR33" s="271"/>
      <c r="CS33" s="425"/>
      <c r="CT33" s="425"/>
      <c r="CU33" s="169"/>
      <c r="CV33" s="169"/>
      <c r="CW33" s="169"/>
      <c r="CX33" s="169"/>
      <c r="CY33" s="129"/>
      <c r="CZ33" s="169"/>
      <c r="DA33" s="129"/>
      <c r="EG33" s="108"/>
      <c r="EP33" s="153"/>
    </row>
    <row r="34" spans="1:146" ht="12.75" customHeight="1" x14ac:dyDescent="0.25">
      <c r="A34" s="270"/>
      <c r="B34" s="270"/>
      <c r="C34" s="270"/>
      <c r="D34" s="270"/>
      <c r="F34" s="129"/>
      <c r="G34" s="160"/>
      <c r="H34" s="160"/>
      <c r="I34" s="160"/>
      <c r="J34" s="160"/>
      <c r="K34" s="160"/>
      <c r="L34" s="160"/>
      <c r="M34" s="160"/>
      <c r="N34" s="160"/>
      <c r="O34" s="160"/>
      <c r="P34" s="160"/>
      <c r="Q34" s="160"/>
      <c r="R34" s="160"/>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307"/>
      <c r="CL34" s="160"/>
      <c r="CM34" s="160"/>
      <c r="CN34" s="160"/>
      <c r="CO34" s="160"/>
      <c r="CP34" s="160"/>
      <c r="CQ34" s="307"/>
      <c r="CR34" s="307"/>
      <c r="EG34" s="150"/>
    </row>
    <row r="36" spans="1:146" ht="12.75" customHeight="1" x14ac:dyDescent="0.25">
      <c r="I36" s="129"/>
    </row>
    <row r="37" spans="1:146" ht="12.75" customHeight="1" x14ac:dyDescent="0.2">
      <c r="C37" s="297" t="s">
        <v>277</v>
      </c>
      <c r="D37" s="298">
        <v>251</v>
      </c>
      <c r="E37" s="287"/>
      <c r="F37" s="287"/>
      <c r="G37" s="294">
        <v>16</v>
      </c>
      <c r="H37" s="294">
        <v>0</v>
      </c>
      <c r="I37" s="294">
        <v>9.39</v>
      </c>
      <c r="J37" s="294">
        <v>0</v>
      </c>
      <c r="K37" s="294">
        <v>0</v>
      </c>
      <c r="L37" s="294"/>
      <c r="M37" s="294">
        <v>0</v>
      </c>
      <c r="N37" s="294">
        <v>21</v>
      </c>
      <c r="O37" s="294">
        <v>19</v>
      </c>
      <c r="P37" s="294">
        <v>0</v>
      </c>
      <c r="Q37" s="294">
        <v>21</v>
      </c>
      <c r="R37" s="294">
        <v>23</v>
      </c>
      <c r="S37" s="294">
        <v>18.02</v>
      </c>
      <c r="T37" s="294"/>
      <c r="U37" s="294">
        <v>22.93</v>
      </c>
      <c r="V37" s="294">
        <v>33</v>
      </c>
      <c r="W37" s="294">
        <v>0</v>
      </c>
      <c r="X37" s="294">
        <v>1</v>
      </c>
      <c r="Y37" s="294">
        <v>10</v>
      </c>
      <c r="Z37" s="294">
        <v>6.4</v>
      </c>
      <c r="AA37" s="294">
        <v>35</v>
      </c>
      <c r="AB37" s="294">
        <v>7</v>
      </c>
      <c r="AC37" s="294">
        <v>35</v>
      </c>
      <c r="AD37" s="294">
        <v>14</v>
      </c>
      <c r="AE37" s="294">
        <v>3</v>
      </c>
      <c r="AF37" s="294">
        <v>47.62</v>
      </c>
      <c r="AG37" s="294">
        <v>36.99</v>
      </c>
      <c r="AH37" s="294">
        <v>92</v>
      </c>
      <c r="AI37" s="294">
        <v>9</v>
      </c>
      <c r="AJ37" s="294">
        <v>0</v>
      </c>
      <c r="AK37" s="294">
        <v>2</v>
      </c>
      <c r="AL37" s="294">
        <v>44.46</v>
      </c>
      <c r="AM37" s="294">
        <v>0</v>
      </c>
      <c r="AN37" s="294">
        <v>0</v>
      </c>
      <c r="AO37" s="294">
        <v>0</v>
      </c>
      <c r="AP37" s="294">
        <v>27</v>
      </c>
      <c r="AQ37" s="294">
        <v>5</v>
      </c>
      <c r="AR37" s="294">
        <v>0</v>
      </c>
      <c r="AS37" s="294">
        <v>14</v>
      </c>
      <c r="AT37" s="294">
        <v>33.200000000000003</v>
      </c>
      <c r="AU37" s="294"/>
      <c r="AV37" s="294">
        <v>0</v>
      </c>
      <c r="AW37" s="294">
        <v>45</v>
      </c>
      <c r="AX37" s="294">
        <v>2</v>
      </c>
      <c r="AY37" s="294">
        <v>7.54</v>
      </c>
      <c r="AZ37" s="294">
        <v>23</v>
      </c>
      <c r="BA37" s="294">
        <v>0</v>
      </c>
      <c r="BB37" s="294">
        <v>0</v>
      </c>
      <c r="BC37" s="294">
        <v>6</v>
      </c>
      <c r="BD37" s="294">
        <v>0</v>
      </c>
      <c r="BE37" s="294">
        <v>0</v>
      </c>
      <c r="BF37" s="294">
        <v>0</v>
      </c>
      <c r="BG37" s="294">
        <v>0</v>
      </c>
      <c r="BH37" s="294">
        <v>0</v>
      </c>
      <c r="BI37" s="294">
        <v>8.73</v>
      </c>
      <c r="BJ37" s="294">
        <v>7.3</v>
      </c>
      <c r="BK37" s="294">
        <v>8.5</v>
      </c>
      <c r="BL37" s="294">
        <v>8</v>
      </c>
      <c r="BM37" s="294">
        <v>21</v>
      </c>
      <c r="BN37" s="294">
        <v>3</v>
      </c>
      <c r="BO37" s="294">
        <v>0</v>
      </c>
      <c r="BP37" s="294">
        <v>6</v>
      </c>
      <c r="BQ37" s="294">
        <v>0</v>
      </c>
      <c r="BR37" s="294">
        <v>0</v>
      </c>
      <c r="BS37" s="294">
        <v>0</v>
      </c>
      <c r="BT37" s="294">
        <v>16.7</v>
      </c>
      <c r="BU37" s="294">
        <v>3</v>
      </c>
      <c r="BV37" s="294">
        <v>7.5</v>
      </c>
      <c r="BW37" s="294">
        <v>7</v>
      </c>
      <c r="BX37" s="294">
        <v>0</v>
      </c>
      <c r="BY37" s="294">
        <v>12</v>
      </c>
      <c r="BZ37" s="294">
        <v>18</v>
      </c>
      <c r="CA37" s="294"/>
      <c r="CB37" s="294">
        <v>6</v>
      </c>
      <c r="CC37" s="294">
        <v>21</v>
      </c>
      <c r="CD37" s="294">
        <v>0</v>
      </c>
      <c r="CE37" s="294">
        <v>0</v>
      </c>
      <c r="CF37" s="294">
        <v>0</v>
      </c>
      <c r="CG37" s="294">
        <v>3</v>
      </c>
      <c r="CH37" s="294">
        <v>7</v>
      </c>
      <c r="CI37" s="294"/>
      <c r="CJ37" s="294">
        <v>0</v>
      </c>
      <c r="CK37" s="294">
        <v>0</v>
      </c>
      <c r="CL37" s="294">
        <v>0</v>
      </c>
      <c r="CM37" s="294">
        <v>48</v>
      </c>
      <c r="CN37" s="294">
        <v>4</v>
      </c>
      <c r="CO37" s="294">
        <v>0</v>
      </c>
      <c r="CP37" s="294">
        <v>3</v>
      </c>
      <c r="CQ37" s="294">
        <v>5</v>
      </c>
      <c r="CR37" s="294">
        <v>0</v>
      </c>
      <c r="CS37" s="284">
        <f t="shared" ref="CS37:CS45" si="4">SUM(G37:CR37)</f>
        <v>913.28000000000009</v>
      </c>
      <c r="EB37" s="150"/>
      <c r="EG37" s="108"/>
    </row>
    <row r="38" spans="1:146" ht="12.75" customHeight="1" x14ac:dyDescent="0.2">
      <c r="C38" s="297" t="s">
        <v>278</v>
      </c>
      <c r="D38" s="298">
        <v>251</v>
      </c>
      <c r="E38" s="287"/>
      <c r="F38" s="287"/>
      <c r="G38" s="294">
        <v>10</v>
      </c>
      <c r="H38" s="294">
        <v>29.09</v>
      </c>
      <c r="I38" s="294">
        <v>48.5</v>
      </c>
      <c r="J38" s="294">
        <v>29.09</v>
      </c>
      <c r="K38" s="294">
        <v>0</v>
      </c>
      <c r="L38" s="294"/>
      <c r="M38" s="294">
        <v>0</v>
      </c>
      <c r="N38" s="294">
        <v>95</v>
      </c>
      <c r="O38" s="294">
        <v>55</v>
      </c>
      <c r="P38" s="294">
        <v>45</v>
      </c>
      <c r="Q38" s="294">
        <v>19</v>
      </c>
      <c r="R38" s="294">
        <v>78</v>
      </c>
      <c r="S38" s="294">
        <v>21</v>
      </c>
      <c r="T38" s="294">
        <v>7</v>
      </c>
      <c r="U38" s="294">
        <v>46.08</v>
      </c>
      <c r="V38" s="294">
        <v>83</v>
      </c>
      <c r="W38" s="294">
        <v>0</v>
      </c>
      <c r="X38" s="294">
        <v>0</v>
      </c>
      <c r="Y38" s="294">
        <v>22</v>
      </c>
      <c r="Z38" s="294">
        <v>2.5</v>
      </c>
      <c r="AA38" s="294">
        <v>95</v>
      </c>
      <c r="AB38" s="294">
        <v>19</v>
      </c>
      <c r="AC38" s="294">
        <v>65</v>
      </c>
      <c r="AD38" s="294">
        <v>24</v>
      </c>
      <c r="AE38" s="294">
        <v>50</v>
      </c>
      <c r="AF38" s="294">
        <v>75</v>
      </c>
      <c r="AG38" s="294">
        <v>39</v>
      </c>
      <c r="AH38" s="294">
        <v>76</v>
      </c>
      <c r="AI38" s="294">
        <v>32</v>
      </c>
      <c r="AJ38" s="294">
        <v>0</v>
      </c>
      <c r="AK38" s="294">
        <v>3</v>
      </c>
      <c r="AL38" s="294">
        <v>87.56</v>
      </c>
      <c r="AM38" s="294">
        <v>0</v>
      </c>
      <c r="AN38" s="294">
        <v>182</v>
      </c>
      <c r="AO38" s="294">
        <v>131</v>
      </c>
      <c r="AP38" s="294">
        <v>29</v>
      </c>
      <c r="AQ38" s="294">
        <v>5</v>
      </c>
      <c r="AR38" s="294">
        <v>70</v>
      </c>
      <c r="AS38" s="294">
        <v>10</v>
      </c>
      <c r="AT38" s="294">
        <v>39.770000000000003</v>
      </c>
      <c r="AU38" s="294"/>
      <c r="AV38" s="294">
        <v>169.04</v>
      </c>
      <c r="AW38" s="294">
        <v>18</v>
      </c>
      <c r="AX38" s="294">
        <v>1</v>
      </c>
      <c r="AY38" s="294">
        <v>17.5</v>
      </c>
      <c r="AZ38" s="294">
        <v>4</v>
      </c>
      <c r="BA38" s="294">
        <v>25</v>
      </c>
      <c r="BB38" s="294">
        <v>0</v>
      </c>
      <c r="BC38" s="294">
        <v>11</v>
      </c>
      <c r="BD38" s="294">
        <v>12</v>
      </c>
      <c r="BE38" s="294">
        <v>0</v>
      </c>
      <c r="BF38" s="294"/>
      <c r="BG38" s="294"/>
      <c r="BH38" s="294">
        <v>0</v>
      </c>
      <c r="BI38" s="294">
        <v>15</v>
      </c>
      <c r="BJ38" s="294">
        <v>11.93</v>
      </c>
      <c r="BK38" s="294">
        <v>6</v>
      </c>
      <c r="BL38" s="294">
        <v>20</v>
      </c>
      <c r="BM38" s="294">
        <v>31</v>
      </c>
      <c r="BN38" s="294">
        <v>20</v>
      </c>
      <c r="BO38" s="294">
        <v>3</v>
      </c>
      <c r="BP38" s="294">
        <v>2</v>
      </c>
      <c r="BQ38" s="294">
        <v>49</v>
      </c>
      <c r="BR38" s="294">
        <v>27</v>
      </c>
      <c r="BS38" s="294">
        <v>16</v>
      </c>
      <c r="BT38" s="294">
        <v>9.94</v>
      </c>
      <c r="BU38" s="294">
        <v>9</v>
      </c>
      <c r="BV38" s="294">
        <v>7</v>
      </c>
      <c r="BW38" s="294">
        <v>15</v>
      </c>
      <c r="BX38" s="294"/>
      <c r="BY38" s="294">
        <v>7</v>
      </c>
      <c r="BZ38" s="294">
        <v>9</v>
      </c>
      <c r="CA38" s="294">
        <v>28</v>
      </c>
      <c r="CB38" s="294">
        <v>13</v>
      </c>
      <c r="CC38" s="294">
        <v>17</v>
      </c>
      <c r="CD38" s="294">
        <v>47</v>
      </c>
      <c r="CE38" s="294">
        <v>2</v>
      </c>
      <c r="CF38" s="294">
        <v>37.25</v>
      </c>
      <c r="CG38" s="294">
        <v>15</v>
      </c>
      <c r="CH38" s="294">
        <v>23</v>
      </c>
      <c r="CI38" s="294">
        <v>24.61</v>
      </c>
      <c r="CJ38" s="294">
        <v>0</v>
      </c>
      <c r="CK38" s="294">
        <v>0</v>
      </c>
      <c r="CL38" s="294">
        <v>39</v>
      </c>
      <c r="CM38" s="294">
        <v>39</v>
      </c>
      <c r="CN38" s="294">
        <v>3</v>
      </c>
      <c r="CO38" s="294">
        <v>42</v>
      </c>
      <c r="CP38" s="294">
        <v>4</v>
      </c>
      <c r="CQ38" s="294">
        <v>6</v>
      </c>
      <c r="CR38" s="294">
        <v>0</v>
      </c>
      <c r="CS38" s="284">
        <f t="shared" si="4"/>
        <v>2477.86</v>
      </c>
      <c r="EB38" s="150"/>
      <c r="EG38" s="108"/>
    </row>
    <row r="39" spans="1:146" ht="12.75" customHeight="1" x14ac:dyDescent="0.2">
      <c r="C39" s="297" t="s">
        <v>279</v>
      </c>
      <c r="D39" s="298">
        <v>251</v>
      </c>
      <c r="E39" s="287"/>
      <c r="F39" s="287"/>
      <c r="G39" s="294">
        <v>0</v>
      </c>
      <c r="H39" s="294">
        <v>0</v>
      </c>
      <c r="I39" s="294">
        <v>0</v>
      </c>
      <c r="J39" s="294">
        <v>0</v>
      </c>
      <c r="K39" s="294">
        <v>0</v>
      </c>
      <c r="L39" s="294">
        <v>25.53</v>
      </c>
      <c r="M39" s="294">
        <v>35</v>
      </c>
      <c r="N39" s="294">
        <v>0</v>
      </c>
      <c r="O39" s="294">
        <v>0</v>
      </c>
      <c r="P39" s="294">
        <v>0</v>
      </c>
      <c r="Q39" s="294">
        <v>0</v>
      </c>
      <c r="R39" s="294">
        <v>0</v>
      </c>
      <c r="S39" s="294">
        <v>0</v>
      </c>
      <c r="T39" s="294">
        <v>0</v>
      </c>
      <c r="U39" s="294">
        <v>0</v>
      </c>
      <c r="V39" s="294">
        <v>0</v>
      </c>
      <c r="W39" s="294">
        <v>31</v>
      </c>
      <c r="X39" s="294">
        <v>0</v>
      </c>
      <c r="Y39" s="294">
        <v>0</v>
      </c>
      <c r="Z39" s="294">
        <v>0</v>
      </c>
      <c r="AA39" s="294">
        <v>0</v>
      </c>
      <c r="AB39" s="294">
        <v>0</v>
      </c>
      <c r="AC39" s="294">
        <v>0</v>
      </c>
      <c r="AD39" s="294">
        <v>0</v>
      </c>
      <c r="AE39" s="294"/>
      <c r="AF39" s="294">
        <v>0</v>
      </c>
      <c r="AG39" s="294">
        <v>0</v>
      </c>
      <c r="AH39" s="294">
        <v>0</v>
      </c>
      <c r="AI39" s="294">
        <v>0</v>
      </c>
      <c r="AJ39" s="294">
        <v>49</v>
      </c>
      <c r="AK39" s="294"/>
      <c r="AL39" s="294">
        <v>0</v>
      </c>
      <c r="AM39" s="294">
        <v>32.799999999999997</v>
      </c>
      <c r="AN39" s="294">
        <v>0</v>
      </c>
      <c r="AO39" s="294">
        <v>141</v>
      </c>
      <c r="AP39" s="294">
        <v>0</v>
      </c>
      <c r="AQ39" s="294">
        <v>0</v>
      </c>
      <c r="AR39" s="294">
        <v>260</v>
      </c>
      <c r="AS39" s="294">
        <v>0</v>
      </c>
      <c r="AT39" s="294">
        <v>0</v>
      </c>
      <c r="AU39" s="294">
        <v>95</v>
      </c>
      <c r="AV39" s="294"/>
      <c r="AW39" s="294">
        <v>0</v>
      </c>
      <c r="AX39" s="294">
        <v>0</v>
      </c>
      <c r="AY39" s="294">
        <v>0</v>
      </c>
      <c r="AZ39" s="294">
        <v>0</v>
      </c>
      <c r="BA39" s="294">
        <v>0</v>
      </c>
      <c r="BB39" s="294">
        <v>28</v>
      </c>
      <c r="BC39" s="294">
        <v>0</v>
      </c>
      <c r="BD39" s="294">
        <v>0</v>
      </c>
      <c r="BE39" s="294">
        <v>20</v>
      </c>
      <c r="BF39" s="294">
        <v>168.04</v>
      </c>
      <c r="BG39" s="294">
        <v>40</v>
      </c>
      <c r="BH39" s="294">
        <v>36</v>
      </c>
      <c r="BI39" s="294">
        <v>0</v>
      </c>
      <c r="BJ39" s="294">
        <v>0</v>
      </c>
      <c r="BK39" s="294">
        <v>0</v>
      </c>
      <c r="BL39" s="294">
        <v>0</v>
      </c>
      <c r="BM39" s="294">
        <v>0</v>
      </c>
      <c r="BN39" s="294">
        <v>0</v>
      </c>
      <c r="BO39" s="294">
        <v>0</v>
      </c>
      <c r="BP39" s="294">
        <v>0</v>
      </c>
      <c r="BQ39" s="294">
        <v>0</v>
      </c>
      <c r="BR39" s="294">
        <v>0</v>
      </c>
      <c r="BS39" s="294">
        <v>0</v>
      </c>
      <c r="BT39" s="294">
        <v>0</v>
      </c>
      <c r="BU39" s="294">
        <v>0</v>
      </c>
      <c r="BV39" s="294">
        <v>0</v>
      </c>
      <c r="BW39" s="294">
        <v>0</v>
      </c>
      <c r="BX39" s="294">
        <v>46.52</v>
      </c>
      <c r="BY39" s="294">
        <v>0</v>
      </c>
      <c r="BZ39" s="294">
        <v>0</v>
      </c>
      <c r="CA39" s="294"/>
      <c r="CB39" s="294">
        <v>0</v>
      </c>
      <c r="CC39" s="294">
        <v>0</v>
      </c>
      <c r="CD39" s="294">
        <v>0</v>
      </c>
      <c r="CE39" s="294">
        <v>2</v>
      </c>
      <c r="CF39" s="294">
        <v>0</v>
      </c>
      <c r="CG39" s="294">
        <v>0</v>
      </c>
      <c r="CH39" s="294">
        <v>0</v>
      </c>
      <c r="CI39" s="294">
        <v>0</v>
      </c>
      <c r="CJ39" s="294">
        <v>49</v>
      </c>
      <c r="CK39" s="294">
        <v>16.52</v>
      </c>
      <c r="CL39" s="294">
        <v>0</v>
      </c>
      <c r="CM39" s="294">
        <v>0</v>
      </c>
      <c r="CN39" s="294">
        <v>0</v>
      </c>
      <c r="CO39" s="294">
        <v>41</v>
      </c>
      <c r="CP39" s="294">
        <v>0</v>
      </c>
      <c r="CQ39" s="294">
        <v>0</v>
      </c>
      <c r="CR39" s="294">
        <v>38.979999999999997</v>
      </c>
      <c r="CS39" s="284">
        <f t="shared" si="4"/>
        <v>1155.3899999999999</v>
      </c>
      <c r="EB39" s="150"/>
      <c r="EG39" s="108"/>
    </row>
    <row r="40" spans="1:146" ht="12.75" customHeight="1" x14ac:dyDescent="0.2">
      <c r="C40" s="297" t="s">
        <v>277</v>
      </c>
      <c r="D40" s="298">
        <v>252</v>
      </c>
      <c r="E40" s="287"/>
      <c r="F40" s="287"/>
      <c r="G40" s="294">
        <v>2</v>
      </c>
      <c r="H40" s="294">
        <v>0</v>
      </c>
      <c r="I40" s="294">
        <v>0</v>
      </c>
      <c r="J40" s="294">
        <v>0</v>
      </c>
      <c r="K40" s="294">
        <v>0</v>
      </c>
      <c r="L40" s="294"/>
      <c r="M40" s="294">
        <v>0</v>
      </c>
      <c r="N40" s="294">
        <v>7</v>
      </c>
      <c r="O40" s="294">
        <v>15</v>
      </c>
      <c r="P40" s="294">
        <v>0</v>
      </c>
      <c r="Q40" s="294">
        <v>11</v>
      </c>
      <c r="R40" s="294">
        <v>8</v>
      </c>
      <c r="S40" s="294">
        <v>7</v>
      </c>
      <c r="T40" s="294"/>
      <c r="U40" s="294">
        <v>0</v>
      </c>
      <c r="V40" s="294">
        <v>8</v>
      </c>
      <c r="W40" s="294">
        <v>0</v>
      </c>
      <c r="X40" s="294">
        <v>0</v>
      </c>
      <c r="Y40" s="294">
        <v>4</v>
      </c>
      <c r="Z40" s="294">
        <v>3.5</v>
      </c>
      <c r="AA40" s="294">
        <v>4</v>
      </c>
      <c r="AB40" s="294">
        <v>0</v>
      </c>
      <c r="AC40" s="294">
        <v>2</v>
      </c>
      <c r="AD40" s="294">
        <v>4</v>
      </c>
      <c r="AE40" s="294">
        <v>10</v>
      </c>
      <c r="AF40" s="294">
        <v>6</v>
      </c>
      <c r="AG40" s="294">
        <v>12.5</v>
      </c>
      <c r="AH40" s="294">
        <v>22</v>
      </c>
      <c r="AI40" s="294">
        <v>1</v>
      </c>
      <c r="AJ40" s="294">
        <v>0</v>
      </c>
      <c r="AK40" s="294"/>
      <c r="AL40" s="294">
        <v>0</v>
      </c>
      <c r="AM40" s="294">
        <v>0</v>
      </c>
      <c r="AN40" s="294">
        <v>0</v>
      </c>
      <c r="AO40" s="294">
        <v>0</v>
      </c>
      <c r="AP40" s="294">
        <v>3</v>
      </c>
      <c r="AQ40" s="294">
        <v>1</v>
      </c>
      <c r="AR40" s="294">
        <v>0</v>
      </c>
      <c r="AS40" s="294">
        <v>0</v>
      </c>
      <c r="AT40" s="294">
        <v>0</v>
      </c>
      <c r="AU40" s="294"/>
      <c r="AV40" s="294">
        <v>0</v>
      </c>
      <c r="AW40" s="294">
        <v>2</v>
      </c>
      <c r="AX40" s="294">
        <v>0</v>
      </c>
      <c r="AY40" s="294">
        <v>3</v>
      </c>
      <c r="AZ40" s="294">
        <v>19</v>
      </c>
      <c r="BA40" s="294">
        <v>0</v>
      </c>
      <c r="BB40" s="294">
        <v>0</v>
      </c>
      <c r="BC40" s="294">
        <v>0</v>
      </c>
      <c r="BD40" s="294">
        <v>0</v>
      </c>
      <c r="BE40" s="294">
        <v>0</v>
      </c>
      <c r="BF40" s="294">
        <v>0</v>
      </c>
      <c r="BG40" s="294">
        <v>0</v>
      </c>
      <c r="BH40" s="294">
        <v>0</v>
      </c>
      <c r="BI40" s="294">
        <v>1</v>
      </c>
      <c r="BJ40" s="294">
        <v>0</v>
      </c>
      <c r="BK40" s="294">
        <v>3</v>
      </c>
      <c r="BL40" s="294">
        <v>0</v>
      </c>
      <c r="BM40" s="294">
        <v>10</v>
      </c>
      <c r="BN40" s="294">
        <v>0</v>
      </c>
      <c r="BO40" s="294">
        <v>0</v>
      </c>
      <c r="BP40" s="294">
        <v>1</v>
      </c>
      <c r="BQ40" s="294">
        <v>0</v>
      </c>
      <c r="BR40" s="294">
        <v>0</v>
      </c>
      <c r="BS40" s="294">
        <v>0</v>
      </c>
      <c r="BT40" s="294">
        <v>0</v>
      </c>
      <c r="BU40" s="294">
        <v>3</v>
      </c>
      <c r="BV40" s="294">
        <v>0</v>
      </c>
      <c r="BW40" s="294">
        <v>2</v>
      </c>
      <c r="BX40" s="294">
        <v>0</v>
      </c>
      <c r="BY40" s="294">
        <v>6</v>
      </c>
      <c r="BZ40" s="294">
        <v>7</v>
      </c>
      <c r="CA40" s="294"/>
      <c r="CB40" s="294">
        <v>1</v>
      </c>
      <c r="CC40" s="294">
        <v>2</v>
      </c>
      <c r="CD40" s="294">
        <v>0</v>
      </c>
      <c r="CE40" s="294">
        <v>0</v>
      </c>
      <c r="CF40" s="294">
        <v>0</v>
      </c>
      <c r="CG40" s="294">
        <v>0</v>
      </c>
      <c r="CH40" s="294">
        <v>0</v>
      </c>
      <c r="CI40" s="294"/>
      <c r="CJ40" s="294">
        <v>0</v>
      </c>
      <c r="CK40" s="294">
        <v>0</v>
      </c>
      <c r="CL40" s="294">
        <v>0</v>
      </c>
      <c r="CM40" s="294">
        <v>15</v>
      </c>
      <c r="CN40" s="294">
        <v>1</v>
      </c>
      <c r="CO40" s="294">
        <v>0</v>
      </c>
      <c r="CP40" s="294">
        <v>1</v>
      </c>
      <c r="CQ40" s="294">
        <v>0</v>
      </c>
      <c r="CR40" s="294">
        <v>0</v>
      </c>
      <c r="CS40" s="284">
        <f t="shared" si="4"/>
        <v>208</v>
      </c>
      <c r="EB40" s="150"/>
      <c r="EG40" s="108"/>
    </row>
    <row r="41" spans="1:146" ht="12.75" customHeight="1" x14ac:dyDescent="0.2">
      <c r="C41" s="297" t="s">
        <v>278</v>
      </c>
      <c r="D41" s="298">
        <v>252</v>
      </c>
      <c r="E41" s="287"/>
      <c r="F41" s="287"/>
      <c r="G41" s="294">
        <v>3</v>
      </c>
      <c r="H41" s="294">
        <v>0</v>
      </c>
      <c r="I41" s="294">
        <v>0</v>
      </c>
      <c r="J41" s="294">
        <v>0</v>
      </c>
      <c r="K41" s="294">
        <v>0</v>
      </c>
      <c r="L41" s="294"/>
      <c r="M41" s="294">
        <v>0</v>
      </c>
      <c r="N41" s="294">
        <v>24</v>
      </c>
      <c r="O41" s="294">
        <v>19</v>
      </c>
      <c r="P41" s="294">
        <v>25</v>
      </c>
      <c r="Q41" s="294">
        <v>14</v>
      </c>
      <c r="R41" s="294">
        <v>15</v>
      </c>
      <c r="S41" s="294">
        <v>0</v>
      </c>
      <c r="T41" s="294"/>
      <c r="U41" s="294">
        <v>0</v>
      </c>
      <c r="V41" s="294">
        <v>13</v>
      </c>
      <c r="W41" s="294">
        <v>0</v>
      </c>
      <c r="X41" s="294">
        <v>0</v>
      </c>
      <c r="Y41" s="294">
        <v>6</v>
      </c>
      <c r="Z41" s="294">
        <v>2.5</v>
      </c>
      <c r="AA41" s="294">
        <v>9</v>
      </c>
      <c r="AB41" s="294">
        <v>5</v>
      </c>
      <c r="AC41" s="294">
        <v>8</v>
      </c>
      <c r="AD41" s="294">
        <v>7</v>
      </c>
      <c r="AE41" s="294">
        <v>24</v>
      </c>
      <c r="AF41" s="294">
        <v>12</v>
      </c>
      <c r="AG41" s="294">
        <v>13.5</v>
      </c>
      <c r="AH41" s="294">
        <v>12</v>
      </c>
      <c r="AI41" s="294">
        <v>5.5</v>
      </c>
      <c r="AJ41" s="294">
        <v>0</v>
      </c>
      <c r="AK41" s="294"/>
      <c r="AL41" s="294">
        <v>0</v>
      </c>
      <c r="AM41" s="294">
        <v>0</v>
      </c>
      <c r="AN41" s="294">
        <v>35</v>
      </c>
      <c r="AO41" s="294">
        <v>23</v>
      </c>
      <c r="AP41" s="294">
        <v>4</v>
      </c>
      <c r="AQ41" s="294">
        <v>1</v>
      </c>
      <c r="AR41" s="294">
        <v>24</v>
      </c>
      <c r="AS41" s="294">
        <v>0</v>
      </c>
      <c r="AT41" s="294">
        <v>0</v>
      </c>
      <c r="AU41" s="294"/>
      <c r="AV41" s="294">
        <v>0</v>
      </c>
      <c r="AW41" s="294">
        <v>2</v>
      </c>
      <c r="AX41" s="294">
        <v>0</v>
      </c>
      <c r="AY41" s="294">
        <v>5</v>
      </c>
      <c r="AZ41" s="294">
        <v>36</v>
      </c>
      <c r="BA41" s="294">
        <v>0</v>
      </c>
      <c r="BB41" s="294">
        <v>0</v>
      </c>
      <c r="BC41" s="294">
        <v>0</v>
      </c>
      <c r="BD41" s="294">
        <v>9</v>
      </c>
      <c r="BE41" s="294">
        <v>0</v>
      </c>
      <c r="BF41" s="294">
        <v>0</v>
      </c>
      <c r="BG41" s="294"/>
      <c r="BH41" s="294">
        <v>0</v>
      </c>
      <c r="BI41" s="294">
        <v>2</v>
      </c>
      <c r="BJ41" s="294">
        <v>0</v>
      </c>
      <c r="BK41" s="294"/>
      <c r="BL41" s="294">
        <v>0</v>
      </c>
      <c r="BM41" s="294">
        <v>18</v>
      </c>
      <c r="BN41" s="294">
        <v>10</v>
      </c>
      <c r="BO41" s="294">
        <v>2</v>
      </c>
      <c r="BP41" s="294">
        <v>1</v>
      </c>
      <c r="BQ41" s="294">
        <v>18</v>
      </c>
      <c r="BR41" s="294">
        <v>14</v>
      </c>
      <c r="BS41" s="294">
        <v>6</v>
      </c>
      <c r="BT41" s="294">
        <v>0</v>
      </c>
      <c r="BU41" s="294">
        <v>4</v>
      </c>
      <c r="BV41" s="294">
        <v>0</v>
      </c>
      <c r="BW41" s="294">
        <v>1</v>
      </c>
      <c r="BX41" s="294">
        <v>0</v>
      </c>
      <c r="BY41" s="294">
        <v>4</v>
      </c>
      <c r="BZ41" s="294">
        <v>4</v>
      </c>
      <c r="CA41" s="294">
        <v>10</v>
      </c>
      <c r="CB41" s="294">
        <v>5.5</v>
      </c>
      <c r="CC41" s="294">
        <v>1</v>
      </c>
      <c r="CD41" s="294">
        <v>12</v>
      </c>
      <c r="CE41" s="294">
        <v>1</v>
      </c>
      <c r="CF41" s="294">
        <v>0</v>
      </c>
      <c r="CG41" s="294">
        <v>3</v>
      </c>
      <c r="CH41" s="294">
        <v>0</v>
      </c>
      <c r="CI41" s="294">
        <v>4.5</v>
      </c>
      <c r="CJ41" s="294">
        <v>0</v>
      </c>
      <c r="CK41" s="294">
        <v>0</v>
      </c>
      <c r="CL41" s="294">
        <v>0</v>
      </c>
      <c r="CM41" s="294">
        <v>15</v>
      </c>
      <c r="CN41" s="294">
        <v>0</v>
      </c>
      <c r="CO41" s="294">
        <v>11</v>
      </c>
      <c r="CP41" s="294">
        <v>1</v>
      </c>
      <c r="CQ41" s="294">
        <v>0</v>
      </c>
      <c r="CR41" s="294">
        <v>0</v>
      </c>
      <c r="CS41" s="284">
        <f t="shared" si="4"/>
        <v>504.5</v>
      </c>
      <c r="EB41" s="150"/>
      <c r="EG41" s="108"/>
    </row>
    <row r="42" spans="1:146" ht="12.75" customHeight="1" x14ac:dyDescent="0.2">
      <c r="C42" s="297" t="s">
        <v>279</v>
      </c>
      <c r="D42" s="298">
        <v>252</v>
      </c>
      <c r="E42" s="287"/>
      <c r="F42" s="287"/>
      <c r="G42" s="294">
        <v>0</v>
      </c>
      <c r="H42" s="294">
        <v>0</v>
      </c>
      <c r="I42" s="294">
        <v>0</v>
      </c>
      <c r="J42" s="294">
        <v>0</v>
      </c>
      <c r="K42" s="294">
        <v>34.56</v>
      </c>
      <c r="L42" s="294">
        <v>5.5</v>
      </c>
      <c r="M42" s="294">
        <v>24</v>
      </c>
      <c r="N42" s="294">
        <v>0</v>
      </c>
      <c r="O42" s="294">
        <v>0</v>
      </c>
      <c r="P42" s="294">
        <v>0</v>
      </c>
      <c r="Q42" s="294">
        <v>0</v>
      </c>
      <c r="R42" s="294"/>
      <c r="S42" s="294">
        <v>0</v>
      </c>
      <c r="T42" s="294">
        <v>0</v>
      </c>
      <c r="U42" s="294">
        <v>0</v>
      </c>
      <c r="V42" s="294">
        <v>0</v>
      </c>
      <c r="W42" s="294">
        <v>0</v>
      </c>
      <c r="X42" s="294">
        <v>0</v>
      </c>
      <c r="Y42" s="294">
        <v>0</v>
      </c>
      <c r="Z42" s="294">
        <v>0</v>
      </c>
      <c r="AA42" s="294">
        <v>0</v>
      </c>
      <c r="AB42" s="294">
        <v>0</v>
      </c>
      <c r="AC42" s="294">
        <v>0</v>
      </c>
      <c r="AD42" s="294">
        <v>0</v>
      </c>
      <c r="AE42" s="294"/>
      <c r="AF42" s="294">
        <v>0</v>
      </c>
      <c r="AG42" s="294">
        <v>0</v>
      </c>
      <c r="AH42" s="294">
        <v>0</v>
      </c>
      <c r="AI42" s="294">
        <v>0</v>
      </c>
      <c r="AJ42" s="294">
        <v>13</v>
      </c>
      <c r="AK42" s="294">
        <v>0</v>
      </c>
      <c r="AL42" s="294">
        <v>0</v>
      </c>
      <c r="AM42" s="294">
        <v>7.5</v>
      </c>
      <c r="AN42" s="294">
        <v>0</v>
      </c>
      <c r="AO42" s="294">
        <v>21</v>
      </c>
      <c r="AP42" s="294">
        <v>0</v>
      </c>
      <c r="AQ42" s="294">
        <v>0</v>
      </c>
      <c r="AR42" s="294">
        <v>101</v>
      </c>
      <c r="AS42" s="294">
        <v>0</v>
      </c>
      <c r="AT42" s="294">
        <v>0</v>
      </c>
      <c r="AU42" s="294">
        <v>30</v>
      </c>
      <c r="AV42" s="294"/>
      <c r="AW42" s="294">
        <v>0</v>
      </c>
      <c r="AX42" s="294">
        <v>0</v>
      </c>
      <c r="AY42" s="294">
        <v>0</v>
      </c>
      <c r="AZ42" s="294">
        <v>0</v>
      </c>
      <c r="BA42" s="294">
        <v>0</v>
      </c>
      <c r="BB42" s="294">
        <v>15</v>
      </c>
      <c r="BC42" s="294">
        <v>0</v>
      </c>
      <c r="BD42" s="294">
        <v>0</v>
      </c>
      <c r="BE42" s="294">
        <v>2</v>
      </c>
      <c r="BF42" s="294"/>
      <c r="BG42" s="294">
        <v>10</v>
      </c>
      <c r="BH42" s="294">
        <v>5</v>
      </c>
      <c r="BI42" s="294">
        <v>0</v>
      </c>
      <c r="BJ42" s="294">
        <v>0</v>
      </c>
      <c r="BK42" s="294">
        <v>0</v>
      </c>
      <c r="BL42" s="294">
        <v>0</v>
      </c>
      <c r="BM42" s="294">
        <v>0</v>
      </c>
      <c r="BN42" s="294">
        <v>0</v>
      </c>
      <c r="BO42" s="294">
        <v>0</v>
      </c>
      <c r="BP42" s="294">
        <v>0</v>
      </c>
      <c r="BQ42" s="294">
        <v>0</v>
      </c>
      <c r="BR42" s="294">
        <v>0</v>
      </c>
      <c r="BS42" s="294">
        <v>0</v>
      </c>
      <c r="BT42" s="294">
        <v>0</v>
      </c>
      <c r="BU42" s="294">
        <v>0</v>
      </c>
      <c r="BV42" s="294">
        <v>0</v>
      </c>
      <c r="BW42" s="294">
        <v>0</v>
      </c>
      <c r="BX42" s="294"/>
      <c r="BY42" s="294">
        <v>0</v>
      </c>
      <c r="BZ42" s="294">
        <v>0</v>
      </c>
      <c r="CA42" s="294">
        <v>0</v>
      </c>
      <c r="CB42" s="294">
        <v>0</v>
      </c>
      <c r="CC42" s="294">
        <v>0</v>
      </c>
      <c r="CD42" s="294">
        <v>0</v>
      </c>
      <c r="CE42" s="294">
        <v>5</v>
      </c>
      <c r="CF42" s="294">
        <v>0</v>
      </c>
      <c r="CG42" s="294">
        <v>0</v>
      </c>
      <c r="CH42" s="294">
        <v>0</v>
      </c>
      <c r="CI42" s="294">
        <v>0</v>
      </c>
      <c r="CJ42" s="294">
        <v>8</v>
      </c>
      <c r="CK42" s="294">
        <v>0</v>
      </c>
      <c r="CL42" s="294">
        <v>0</v>
      </c>
      <c r="CM42" s="294">
        <v>0</v>
      </c>
      <c r="CN42" s="294">
        <v>0</v>
      </c>
      <c r="CO42" s="294">
        <v>13</v>
      </c>
      <c r="CP42" s="294">
        <v>0</v>
      </c>
      <c r="CQ42" s="294">
        <v>0</v>
      </c>
      <c r="CR42" s="294">
        <v>19</v>
      </c>
      <c r="CS42" s="284">
        <f t="shared" si="4"/>
        <v>313.56</v>
      </c>
      <c r="EB42" s="150"/>
      <c r="EG42" s="108"/>
    </row>
    <row r="43" spans="1:146" ht="12.75" customHeight="1" x14ac:dyDescent="0.2">
      <c r="C43" s="297" t="s">
        <v>277</v>
      </c>
      <c r="D43" s="298">
        <v>253</v>
      </c>
      <c r="E43" s="287"/>
      <c r="F43" s="287"/>
      <c r="G43" s="294"/>
      <c r="H43" s="294">
        <v>0</v>
      </c>
      <c r="I43" s="294">
        <v>0</v>
      </c>
      <c r="J43" s="294">
        <v>0</v>
      </c>
      <c r="K43" s="294">
        <v>0</v>
      </c>
      <c r="L43" s="294">
        <v>0</v>
      </c>
      <c r="M43" s="294">
        <v>0</v>
      </c>
      <c r="N43" s="294">
        <v>1</v>
      </c>
      <c r="O43" s="294">
        <v>1</v>
      </c>
      <c r="P43" s="294">
        <v>0</v>
      </c>
      <c r="Q43" s="294">
        <v>0</v>
      </c>
      <c r="R43" s="294">
        <v>0</v>
      </c>
      <c r="S43" s="294">
        <v>0</v>
      </c>
      <c r="T43" s="294">
        <v>0</v>
      </c>
      <c r="U43" s="294">
        <v>0</v>
      </c>
      <c r="V43" s="294">
        <v>0</v>
      </c>
      <c r="W43" s="294">
        <v>0</v>
      </c>
      <c r="X43" s="294">
        <v>0</v>
      </c>
      <c r="Y43" s="294">
        <v>0</v>
      </c>
      <c r="Z43" s="294">
        <v>0</v>
      </c>
      <c r="AA43" s="294">
        <v>3</v>
      </c>
      <c r="AB43" s="294">
        <v>1.5</v>
      </c>
      <c r="AC43" s="294">
        <v>0</v>
      </c>
      <c r="AD43" s="294">
        <v>0</v>
      </c>
      <c r="AE43" s="294">
        <v>2</v>
      </c>
      <c r="AF43" s="294">
        <v>0</v>
      </c>
      <c r="AG43" s="294">
        <v>0</v>
      </c>
      <c r="AH43" s="294">
        <v>0</v>
      </c>
      <c r="AI43" s="294">
        <v>0</v>
      </c>
      <c r="AJ43" s="294">
        <v>0</v>
      </c>
      <c r="AK43" s="294">
        <v>0</v>
      </c>
      <c r="AL43" s="294">
        <v>0</v>
      </c>
      <c r="AM43" s="294">
        <v>0</v>
      </c>
      <c r="AN43" s="294">
        <v>0</v>
      </c>
      <c r="AO43" s="294">
        <v>0</v>
      </c>
      <c r="AP43" s="294">
        <v>1</v>
      </c>
      <c r="AQ43" s="294">
        <v>0</v>
      </c>
      <c r="AR43" s="294">
        <v>0</v>
      </c>
      <c r="AS43" s="294">
        <v>0</v>
      </c>
      <c r="AT43" s="294">
        <v>0</v>
      </c>
      <c r="AU43" s="294"/>
      <c r="AV43" s="294">
        <v>0</v>
      </c>
      <c r="AW43" s="294">
        <v>0</v>
      </c>
      <c r="AX43" s="294">
        <v>0</v>
      </c>
      <c r="AY43" s="294">
        <v>1</v>
      </c>
      <c r="AZ43" s="294">
        <v>0</v>
      </c>
      <c r="BA43" s="294">
        <v>0</v>
      </c>
      <c r="BB43" s="294">
        <v>0</v>
      </c>
      <c r="BC43" s="294">
        <v>0</v>
      </c>
      <c r="BD43" s="294">
        <v>0</v>
      </c>
      <c r="BE43" s="294">
        <v>0</v>
      </c>
      <c r="BF43" s="294">
        <v>0</v>
      </c>
      <c r="BG43" s="294">
        <v>0</v>
      </c>
      <c r="BH43" s="294">
        <v>0</v>
      </c>
      <c r="BI43" s="294">
        <v>0</v>
      </c>
      <c r="BJ43" s="294">
        <v>0</v>
      </c>
      <c r="BK43" s="294">
        <v>0</v>
      </c>
      <c r="BL43" s="294">
        <v>0</v>
      </c>
      <c r="BM43" s="294">
        <v>0</v>
      </c>
      <c r="BN43" s="294">
        <v>0</v>
      </c>
      <c r="BO43" s="294">
        <v>0</v>
      </c>
      <c r="BP43" s="294">
        <v>0</v>
      </c>
      <c r="BQ43" s="294">
        <v>0</v>
      </c>
      <c r="BR43" s="294">
        <v>0</v>
      </c>
      <c r="BS43" s="294">
        <v>0</v>
      </c>
      <c r="BT43" s="294">
        <v>0</v>
      </c>
      <c r="BU43" s="294">
        <v>1</v>
      </c>
      <c r="BV43" s="294">
        <v>0</v>
      </c>
      <c r="BW43" s="294">
        <v>0</v>
      </c>
      <c r="BX43" s="294">
        <v>0</v>
      </c>
      <c r="BY43" s="294">
        <v>0</v>
      </c>
      <c r="BZ43" s="294">
        <v>0</v>
      </c>
      <c r="CA43" s="294">
        <v>0</v>
      </c>
      <c r="CB43" s="294">
        <v>0</v>
      </c>
      <c r="CC43" s="294">
        <v>0</v>
      </c>
      <c r="CD43" s="294">
        <v>0</v>
      </c>
      <c r="CE43" s="294">
        <v>0</v>
      </c>
      <c r="CF43" s="294">
        <v>0</v>
      </c>
      <c r="CG43" s="294">
        <v>2</v>
      </c>
      <c r="CH43" s="294">
        <v>0</v>
      </c>
      <c r="CI43" s="294">
        <v>0</v>
      </c>
      <c r="CJ43" s="294">
        <v>0</v>
      </c>
      <c r="CK43" s="294">
        <v>0</v>
      </c>
      <c r="CL43" s="294">
        <v>0</v>
      </c>
      <c r="CM43" s="294">
        <v>0</v>
      </c>
      <c r="CN43" s="294">
        <v>0</v>
      </c>
      <c r="CO43" s="294">
        <v>0</v>
      </c>
      <c r="CP43" s="294">
        <v>0</v>
      </c>
      <c r="CQ43" s="294">
        <v>0</v>
      </c>
      <c r="CR43" s="294">
        <v>0</v>
      </c>
      <c r="CS43" s="284">
        <f t="shared" si="4"/>
        <v>13.5</v>
      </c>
      <c r="EB43" s="150"/>
      <c r="EG43" s="108"/>
    </row>
    <row r="44" spans="1:146" ht="12.75" customHeight="1" x14ac:dyDescent="0.2">
      <c r="C44" s="297" t="s">
        <v>278</v>
      </c>
      <c r="D44" s="298">
        <v>253</v>
      </c>
      <c r="E44" s="287"/>
      <c r="F44" s="287"/>
      <c r="G44" s="294">
        <v>0</v>
      </c>
      <c r="H44" s="294">
        <v>0</v>
      </c>
      <c r="I44" s="294">
        <v>0</v>
      </c>
      <c r="J44" s="294">
        <v>0</v>
      </c>
      <c r="K44" s="294">
        <v>0</v>
      </c>
      <c r="L44" s="294">
        <v>0</v>
      </c>
      <c r="M44" s="294">
        <v>0</v>
      </c>
      <c r="N44" s="294">
        <v>0</v>
      </c>
      <c r="O44" s="294">
        <v>0</v>
      </c>
      <c r="P44" s="294">
        <v>0</v>
      </c>
      <c r="Q44" s="294">
        <v>1</v>
      </c>
      <c r="R44" s="294">
        <v>0</v>
      </c>
      <c r="S44" s="294">
        <v>0</v>
      </c>
      <c r="T44" s="294">
        <v>0</v>
      </c>
      <c r="U44" s="294">
        <v>0</v>
      </c>
      <c r="V44" s="294">
        <v>0</v>
      </c>
      <c r="W44" s="294">
        <v>0</v>
      </c>
      <c r="X44" s="294">
        <v>0</v>
      </c>
      <c r="Y44" s="294">
        <v>0</v>
      </c>
      <c r="Z44" s="294">
        <v>0</v>
      </c>
      <c r="AA44" s="294">
        <v>0</v>
      </c>
      <c r="AB44" s="294">
        <v>0</v>
      </c>
      <c r="AC44" s="294">
        <v>0</v>
      </c>
      <c r="AD44" s="294">
        <v>0</v>
      </c>
      <c r="AE44" s="294">
        <v>1</v>
      </c>
      <c r="AF44" s="294">
        <v>0</v>
      </c>
      <c r="AG44" s="294">
        <v>1.5</v>
      </c>
      <c r="AH44" s="294">
        <v>2</v>
      </c>
      <c r="AI44" s="294">
        <v>0</v>
      </c>
      <c r="AJ44" s="294">
        <v>0</v>
      </c>
      <c r="AK44" s="294">
        <v>0</v>
      </c>
      <c r="AL44" s="294">
        <v>0</v>
      </c>
      <c r="AM44" s="294">
        <v>0</v>
      </c>
      <c r="AN44" s="294">
        <v>0</v>
      </c>
      <c r="AO44" s="294">
        <v>0</v>
      </c>
      <c r="AP44" s="294">
        <v>0</v>
      </c>
      <c r="AQ44" s="294">
        <v>0</v>
      </c>
      <c r="AR44" s="294">
        <v>0</v>
      </c>
      <c r="AS44" s="294">
        <v>0</v>
      </c>
      <c r="AT44" s="294">
        <v>0</v>
      </c>
      <c r="AU44" s="294"/>
      <c r="AV44" s="294">
        <v>0</v>
      </c>
      <c r="AW44" s="294">
        <v>0</v>
      </c>
      <c r="AX44" s="294">
        <v>0</v>
      </c>
      <c r="AY44" s="294">
        <v>0</v>
      </c>
      <c r="AZ44" s="294">
        <v>0</v>
      </c>
      <c r="BA44" s="294">
        <v>0</v>
      </c>
      <c r="BB44" s="294">
        <v>0</v>
      </c>
      <c r="BC44" s="294">
        <v>0</v>
      </c>
      <c r="BD44" s="294">
        <v>0</v>
      </c>
      <c r="BE44" s="294">
        <v>0</v>
      </c>
      <c r="BF44" s="294">
        <v>0</v>
      </c>
      <c r="BG44" s="294">
        <v>0</v>
      </c>
      <c r="BH44" s="294">
        <v>0</v>
      </c>
      <c r="BI44" s="294">
        <v>0</v>
      </c>
      <c r="BJ44" s="294">
        <v>0</v>
      </c>
      <c r="BK44" s="294">
        <v>0</v>
      </c>
      <c r="BL44" s="294">
        <v>0</v>
      </c>
      <c r="BM44" s="294">
        <v>0</v>
      </c>
      <c r="BN44" s="294">
        <v>0</v>
      </c>
      <c r="BO44" s="294">
        <v>0</v>
      </c>
      <c r="BP44" s="294">
        <v>1</v>
      </c>
      <c r="BQ44" s="294">
        <v>0</v>
      </c>
      <c r="BR44" s="294">
        <v>0</v>
      </c>
      <c r="BS44" s="294">
        <v>0</v>
      </c>
      <c r="BT44" s="294">
        <v>0</v>
      </c>
      <c r="BU44" s="294">
        <v>0</v>
      </c>
      <c r="BV44" s="294">
        <v>0</v>
      </c>
      <c r="BW44" s="294">
        <v>0</v>
      </c>
      <c r="BX44" s="294">
        <v>0</v>
      </c>
      <c r="BY44" s="294">
        <v>0</v>
      </c>
      <c r="BZ44" s="294">
        <v>0</v>
      </c>
      <c r="CA44" s="294">
        <v>0</v>
      </c>
      <c r="CB44" s="294">
        <v>0</v>
      </c>
      <c r="CC44" s="294">
        <v>1</v>
      </c>
      <c r="CD44" s="294">
        <v>0</v>
      </c>
      <c r="CE44" s="294">
        <v>0</v>
      </c>
      <c r="CF44" s="294">
        <v>0</v>
      </c>
      <c r="CG44" s="294">
        <v>0</v>
      </c>
      <c r="CH44" s="294">
        <v>0</v>
      </c>
      <c r="CI44" s="294">
        <v>0</v>
      </c>
      <c r="CJ44" s="294">
        <v>0</v>
      </c>
      <c r="CK44" s="294">
        <v>0</v>
      </c>
      <c r="CL44" s="294">
        <v>0</v>
      </c>
      <c r="CM44" s="294">
        <v>0</v>
      </c>
      <c r="CN44" s="294">
        <v>0</v>
      </c>
      <c r="CO44" s="294">
        <v>0</v>
      </c>
      <c r="CP44" s="294">
        <v>0</v>
      </c>
      <c r="CQ44" s="294">
        <v>0</v>
      </c>
      <c r="CR44" s="294">
        <v>0</v>
      </c>
      <c r="CS44" s="284">
        <f t="shared" si="4"/>
        <v>7.5</v>
      </c>
      <c r="EB44" s="150"/>
      <c r="EG44" s="108"/>
    </row>
    <row r="45" spans="1:146" ht="12.75" customHeight="1" x14ac:dyDescent="0.2">
      <c r="C45" s="297" t="s">
        <v>279</v>
      </c>
      <c r="D45" s="298">
        <v>253</v>
      </c>
      <c r="E45" s="287"/>
      <c r="F45" s="287"/>
      <c r="G45" s="294">
        <v>0</v>
      </c>
      <c r="H45" s="294">
        <v>0</v>
      </c>
      <c r="I45" s="294">
        <v>0</v>
      </c>
      <c r="J45" s="294">
        <v>0</v>
      </c>
      <c r="K45" s="294">
        <v>0</v>
      </c>
      <c r="L45" s="294">
        <v>0</v>
      </c>
      <c r="M45" s="294">
        <v>0</v>
      </c>
      <c r="N45" s="294">
        <v>0</v>
      </c>
      <c r="O45" s="294">
        <v>0</v>
      </c>
      <c r="P45" s="294">
        <v>0</v>
      </c>
      <c r="Q45" s="294">
        <v>0</v>
      </c>
      <c r="R45" s="294">
        <v>0</v>
      </c>
      <c r="S45" s="294">
        <v>0</v>
      </c>
      <c r="T45" s="294">
        <v>0</v>
      </c>
      <c r="U45" s="294">
        <v>0</v>
      </c>
      <c r="V45" s="294">
        <v>0</v>
      </c>
      <c r="W45" s="294">
        <v>0</v>
      </c>
      <c r="X45" s="294">
        <v>0</v>
      </c>
      <c r="Y45" s="294">
        <v>0</v>
      </c>
      <c r="Z45" s="294">
        <v>0</v>
      </c>
      <c r="AA45" s="294">
        <v>0</v>
      </c>
      <c r="AB45" s="294">
        <v>0</v>
      </c>
      <c r="AC45" s="294">
        <v>0</v>
      </c>
      <c r="AD45" s="294">
        <v>0</v>
      </c>
      <c r="AE45" s="294">
        <v>0</v>
      </c>
      <c r="AF45" s="294">
        <v>0</v>
      </c>
      <c r="AG45" s="294">
        <v>0</v>
      </c>
      <c r="AH45" s="294">
        <v>0</v>
      </c>
      <c r="AI45" s="294">
        <v>0</v>
      </c>
      <c r="AJ45" s="294">
        <v>0</v>
      </c>
      <c r="AK45" s="294">
        <v>0</v>
      </c>
      <c r="AL45" s="294">
        <v>0</v>
      </c>
      <c r="AM45" s="294">
        <v>1</v>
      </c>
      <c r="AN45" s="294">
        <v>0</v>
      </c>
      <c r="AO45" s="294">
        <v>1</v>
      </c>
      <c r="AP45" s="294">
        <v>0</v>
      </c>
      <c r="AQ45" s="294">
        <v>0</v>
      </c>
      <c r="AR45" s="294">
        <v>1</v>
      </c>
      <c r="AS45" s="294">
        <v>0</v>
      </c>
      <c r="AT45" s="294">
        <v>0</v>
      </c>
      <c r="AU45" s="294">
        <v>0</v>
      </c>
      <c r="AV45" s="294">
        <v>0</v>
      </c>
      <c r="AW45" s="294">
        <v>0</v>
      </c>
      <c r="AX45" s="294">
        <v>0</v>
      </c>
      <c r="AY45" s="294">
        <v>0</v>
      </c>
      <c r="AZ45" s="294">
        <v>0</v>
      </c>
      <c r="BA45" s="294">
        <v>0</v>
      </c>
      <c r="BB45" s="294">
        <v>0</v>
      </c>
      <c r="BC45" s="294">
        <v>0</v>
      </c>
      <c r="BD45" s="294">
        <v>0</v>
      </c>
      <c r="BE45" s="294">
        <v>0</v>
      </c>
      <c r="BF45" s="294">
        <v>0</v>
      </c>
      <c r="BG45" s="294">
        <v>0</v>
      </c>
      <c r="BH45" s="294">
        <v>0</v>
      </c>
      <c r="BI45" s="294">
        <v>0</v>
      </c>
      <c r="BJ45" s="294">
        <v>0</v>
      </c>
      <c r="BK45" s="294">
        <v>0</v>
      </c>
      <c r="BL45" s="294">
        <v>0</v>
      </c>
      <c r="BM45" s="294">
        <v>0</v>
      </c>
      <c r="BN45" s="294">
        <v>0</v>
      </c>
      <c r="BO45" s="294">
        <v>0</v>
      </c>
      <c r="BP45" s="294">
        <v>0</v>
      </c>
      <c r="BQ45" s="294">
        <v>0</v>
      </c>
      <c r="BR45" s="294">
        <v>0</v>
      </c>
      <c r="BS45" s="294">
        <v>0</v>
      </c>
      <c r="BT45" s="294">
        <v>0</v>
      </c>
      <c r="BU45" s="294">
        <v>0</v>
      </c>
      <c r="BV45" s="294">
        <v>0</v>
      </c>
      <c r="BW45" s="294">
        <v>0</v>
      </c>
      <c r="BX45" s="294">
        <v>0</v>
      </c>
      <c r="BY45" s="294">
        <v>0</v>
      </c>
      <c r="BZ45" s="294">
        <v>0</v>
      </c>
      <c r="CA45" s="294">
        <v>0</v>
      </c>
      <c r="CB45" s="294">
        <v>0</v>
      </c>
      <c r="CC45" s="294">
        <v>0</v>
      </c>
      <c r="CD45" s="294">
        <v>0</v>
      </c>
      <c r="CE45" s="294">
        <v>0</v>
      </c>
      <c r="CF45" s="294">
        <v>0</v>
      </c>
      <c r="CG45" s="294">
        <v>0</v>
      </c>
      <c r="CH45" s="294">
        <v>0</v>
      </c>
      <c r="CI45" s="294">
        <v>0</v>
      </c>
      <c r="CJ45" s="294">
        <v>0</v>
      </c>
      <c r="CK45" s="294">
        <v>0</v>
      </c>
      <c r="CL45" s="294">
        <v>0</v>
      </c>
      <c r="CM45" s="294">
        <v>0</v>
      </c>
      <c r="CN45" s="294">
        <v>0</v>
      </c>
      <c r="CO45" s="294">
        <v>0</v>
      </c>
      <c r="CP45" s="294">
        <v>0</v>
      </c>
      <c r="CQ45" s="294">
        <v>0</v>
      </c>
      <c r="CR45" s="294">
        <v>0</v>
      </c>
      <c r="CS45" s="284">
        <f t="shared" si="4"/>
        <v>3</v>
      </c>
      <c r="EB45" s="150"/>
      <c r="EG45" s="108"/>
    </row>
    <row r="46" spans="1:146" ht="12.75" customHeight="1" x14ac:dyDescent="0.25">
      <c r="E46" s="286"/>
      <c r="F46" s="286"/>
      <c r="G46" s="296">
        <f>SUM(G37:G45)</f>
        <v>31</v>
      </c>
      <c r="H46" s="296">
        <f>SUM(H37:H45)</f>
        <v>29.09</v>
      </c>
      <c r="I46" s="296">
        <f t="shared" ref="I46:BN46" si="5">SUM(I37:I45)</f>
        <v>57.89</v>
      </c>
      <c r="J46" s="296">
        <f t="shared" si="5"/>
        <v>29.09</v>
      </c>
      <c r="K46" s="296">
        <f t="shared" si="5"/>
        <v>34.56</v>
      </c>
      <c r="L46" s="296">
        <f t="shared" si="5"/>
        <v>31.03</v>
      </c>
      <c r="M46" s="296">
        <f t="shared" si="5"/>
        <v>59</v>
      </c>
      <c r="N46" s="296">
        <f t="shared" si="5"/>
        <v>148</v>
      </c>
      <c r="O46" s="296">
        <f t="shared" si="5"/>
        <v>109</v>
      </c>
      <c r="P46" s="296">
        <f t="shared" si="5"/>
        <v>70</v>
      </c>
      <c r="Q46" s="296">
        <f t="shared" si="5"/>
        <v>66</v>
      </c>
      <c r="R46" s="296">
        <f t="shared" si="5"/>
        <v>124</v>
      </c>
      <c r="S46" s="296">
        <f t="shared" si="5"/>
        <v>46.019999999999996</v>
      </c>
      <c r="T46" s="296"/>
      <c r="U46" s="296">
        <f t="shared" si="5"/>
        <v>69.009999999999991</v>
      </c>
      <c r="V46" s="296">
        <f t="shared" si="5"/>
        <v>137</v>
      </c>
      <c r="W46" s="296">
        <f t="shared" si="5"/>
        <v>31</v>
      </c>
      <c r="X46" s="296">
        <f t="shared" si="5"/>
        <v>1</v>
      </c>
      <c r="Y46" s="296">
        <f t="shared" si="5"/>
        <v>42</v>
      </c>
      <c r="Z46" s="296">
        <f t="shared" si="5"/>
        <v>14.9</v>
      </c>
      <c r="AA46" s="296">
        <f t="shared" si="5"/>
        <v>146</v>
      </c>
      <c r="AB46" s="296">
        <f t="shared" si="5"/>
        <v>32.5</v>
      </c>
      <c r="AC46" s="296">
        <f t="shared" si="5"/>
        <v>110</v>
      </c>
      <c r="AD46" s="296">
        <f t="shared" si="5"/>
        <v>49</v>
      </c>
      <c r="AE46" s="296">
        <f t="shared" si="5"/>
        <v>90</v>
      </c>
      <c r="AF46" s="296">
        <f t="shared" si="5"/>
        <v>140.62</v>
      </c>
      <c r="AG46" s="296">
        <f t="shared" si="5"/>
        <v>103.49000000000001</v>
      </c>
      <c r="AH46" s="296">
        <f t="shared" si="5"/>
        <v>204</v>
      </c>
      <c r="AI46" s="296">
        <f>SUM(AI37:AI45)</f>
        <v>47.5</v>
      </c>
      <c r="AJ46" s="296">
        <f t="shared" si="5"/>
        <v>62</v>
      </c>
      <c r="AK46" s="296">
        <f t="shared" si="5"/>
        <v>5</v>
      </c>
      <c r="AL46" s="296">
        <f t="shared" si="5"/>
        <v>132.02000000000001</v>
      </c>
      <c r="AM46" s="296">
        <f t="shared" si="5"/>
        <v>41.3</v>
      </c>
      <c r="AN46" s="296">
        <f t="shared" si="5"/>
        <v>217</v>
      </c>
      <c r="AO46" s="296">
        <f t="shared" si="5"/>
        <v>317</v>
      </c>
      <c r="AP46" s="296">
        <f t="shared" si="5"/>
        <v>64</v>
      </c>
      <c r="AQ46" s="296">
        <f t="shared" si="5"/>
        <v>12</v>
      </c>
      <c r="AR46" s="296">
        <f t="shared" si="5"/>
        <v>456</v>
      </c>
      <c r="AS46" s="296">
        <f t="shared" si="5"/>
        <v>24</v>
      </c>
      <c r="AT46" s="296">
        <f t="shared" si="5"/>
        <v>72.97</v>
      </c>
      <c r="AU46" s="296">
        <f t="shared" si="5"/>
        <v>125</v>
      </c>
      <c r="AV46" s="296">
        <f t="shared" si="5"/>
        <v>169.04</v>
      </c>
      <c r="AW46" s="296">
        <f t="shared" si="5"/>
        <v>67</v>
      </c>
      <c r="AX46" s="296">
        <f t="shared" si="5"/>
        <v>3</v>
      </c>
      <c r="AY46" s="296">
        <f t="shared" si="5"/>
        <v>34.04</v>
      </c>
      <c r="AZ46" s="296">
        <f t="shared" si="5"/>
        <v>82</v>
      </c>
      <c r="BA46" s="296">
        <f t="shared" si="5"/>
        <v>25</v>
      </c>
      <c r="BB46" s="296">
        <f t="shared" si="5"/>
        <v>43</v>
      </c>
      <c r="BC46" s="296">
        <f t="shared" si="5"/>
        <v>17</v>
      </c>
      <c r="BD46" s="296">
        <f t="shared" si="5"/>
        <v>21</v>
      </c>
      <c r="BE46" s="296">
        <f t="shared" si="5"/>
        <v>22</v>
      </c>
      <c r="BF46" s="296">
        <f t="shared" si="5"/>
        <v>168.04</v>
      </c>
      <c r="BG46" s="296">
        <f t="shared" si="5"/>
        <v>50</v>
      </c>
      <c r="BH46" s="296">
        <f t="shared" si="5"/>
        <v>41</v>
      </c>
      <c r="BI46" s="296">
        <f t="shared" si="5"/>
        <v>26.73</v>
      </c>
      <c r="BJ46" s="296">
        <f t="shared" si="5"/>
        <v>19.23</v>
      </c>
      <c r="BK46" s="296">
        <f t="shared" si="5"/>
        <v>17.5</v>
      </c>
      <c r="BL46" s="296">
        <f t="shared" si="5"/>
        <v>28</v>
      </c>
      <c r="BM46" s="296">
        <f t="shared" si="5"/>
        <v>80</v>
      </c>
      <c r="BN46" s="296">
        <f t="shared" si="5"/>
        <v>33</v>
      </c>
      <c r="BO46" s="296">
        <f t="shared" ref="BO46:CQ46" si="6">SUM(BO37:BO45)</f>
        <v>5</v>
      </c>
      <c r="BP46" s="296">
        <f t="shared" si="6"/>
        <v>11</v>
      </c>
      <c r="BQ46" s="296">
        <f t="shared" si="6"/>
        <v>67</v>
      </c>
      <c r="BR46" s="296">
        <f t="shared" si="6"/>
        <v>41</v>
      </c>
      <c r="BS46" s="296">
        <f t="shared" si="6"/>
        <v>22</v>
      </c>
      <c r="BT46" s="296">
        <f t="shared" si="6"/>
        <v>26.64</v>
      </c>
      <c r="BU46" s="296">
        <f t="shared" si="6"/>
        <v>20</v>
      </c>
      <c r="BV46" s="296">
        <f t="shared" si="6"/>
        <v>14.5</v>
      </c>
      <c r="BW46" s="296">
        <f t="shared" si="6"/>
        <v>25</v>
      </c>
      <c r="BX46" s="296">
        <f t="shared" si="6"/>
        <v>46.52</v>
      </c>
      <c r="BY46" s="296">
        <f t="shared" si="6"/>
        <v>29</v>
      </c>
      <c r="BZ46" s="296">
        <f t="shared" si="6"/>
        <v>38</v>
      </c>
      <c r="CA46" s="296">
        <f t="shared" si="6"/>
        <v>38</v>
      </c>
      <c r="CB46" s="296">
        <f t="shared" si="6"/>
        <v>25.5</v>
      </c>
      <c r="CC46" s="296">
        <f t="shared" si="6"/>
        <v>42</v>
      </c>
      <c r="CD46" s="296">
        <f t="shared" si="6"/>
        <v>59</v>
      </c>
      <c r="CE46" s="296">
        <f t="shared" si="6"/>
        <v>10</v>
      </c>
      <c r="CF46" s="296">
        <f t="shared" si="6"/>
        <v>37.25</v>
      </c>
      <c r="CG46" s="296">
        <f t="shared" si="6"/>
        <v>23</v>
      </c>
      <c r="CH46" s="296">
        <f t="shared" si="6"/>
        <v>30</v>
      </c>
      <c r="CI46" s="296">
        <f t="shared" si="6"/>
        <v>29.11</v>
      </c>
      <c r="CJ46" s="296">
        <f t="shared" si="6"/>
        <v>57</v>
      </c>
      <c r="CK46" s="296">
        <f>SUM(CK37:CK45)</f>
        <v>16.52</v>
      </c>
      <c r="CL46" s="296">
        <f>SUM(CL37:CL45)</f>
        <v>39</v>
      </c>
      <c r="CM46" s="296">
        <f t="shared" si="6"/>
        <v>117</v>
      </c>
      <c r="CN46" s="296">
        <f t="shared" si="6"/>
        <v>8</v>
      </c>
      <c r="CO46" s="296">
        <f t="shared" si="6"/>
        <v>107</v>
      </c>
      <c r="CP46" s="296">
        <f t="shared" si="6"/>
        <v>9</v>
      </c>
      <c r="CQ46" s="296">
        <f t="shared" si="6"/>
        <v>11</v>
      </c>
      <c r="CR46" s="296">
        <f t="shared" ref="CR46" si="7">SUM(CR37:CR45)</f>
        <v>57.98</v>
      </c>
      <c r="CS46" s="295">
        <f>SUM(CS37:CS45)</f>
        <v>5596.5900000000011</v>
      </c>
    </row>
    <row r="47" spans="1:146" ht="12.75" customHeight="1" x14ac:dyDescent="0.2">
      <c r="F47" s="129"/>
      <c r="G47" s="129">
        <f>+G46-G19-G20-G21</f>
        <v>0</v>
      </c>
      <c r="H47" s="129">
        <f>+H46-H19-H20-H21</f>
        <v>0</v>
      </c>
      <c r="I47" s="129">
        <f t="shared" ref="I47:BN47" si="8">+I46-I19-I20-I21</f>
        <v>0</v>
      </c>
      <c r="J47" s="129">
        <f t="shared" si="8"/>
        <v>0</v>
      </c>
      <c r="K47" s="129">
        <f t="shared" si="8"/>
        <v>0</v>
      </c>
      <c r="L47" s="129">
        <f t="shared" si="8"/>
        <v>0</v>
      </c>
      <c r="M47" s="129">
        <f t="shared" si="8"/>
        <v>0</v>
      </c>
      <c r="N47" s="129">
        <f t="shared" si="8"/>
        <v>0</v>
      </c>
      <c r="O47" s="129">
        <f t="shared" si="8"/>
        <v>0</v>
      </c>
      <c r="P47" s="129">
        <f t="shared" si="8"/>
        <v>0</v>
      </c>
      <c r="Q47" s="129">
        <f t="shared" si="8"/>
        <v>0</v>
      </c>
      <c r="R47" s="129">
        <f t="shared" si="8"/>
        <v>0</v>
      </c>
      <c r="S47" s="129">
        <f t="shared" si="8"/>
        <v>-3.5527136788005009E-15</v>
      </c>
      <c r="T47" s="129"/>
      <c r="U47" s="129">
        <f t="shared" si="8"/>
        <v>-7.1054273576010019E-15</v>
      </c>
      <c r="V47" s="129">
        <f t="shared" si="8"/>
        <v>0</v>
      </c>
      <c r="W47" s="129">
        <f t="shared" si="8"/>
        <v>0</v>
      </c>
      <c r="X47" s="129">
        <f t="shared" si="8"/>
        <v>0</v>
      </c>
      <c r="Y47" s="129">
        <f t="shared" si="8"/>
        <v>0</v>
      </c>
      <c r="Z47" s="129">
        <f t="shared" si="8"/>
        <v>0</v>
      </c>
      <c r="AA47" s="129">
        <f t="shared" si="8"/>
        <v>0</v>
      </c>
      <c r="AB47" s="129">
        <f t="shared" si="8"/>
        <v>0</v>
      </c>
      <c r="AC47" s="129">
        <f t="shared" si="8"/>
        <v>0</v>
      </c>
      <c r="AD47" s="129">
        <f t="shared" si="8"/>
        <v>0</v>
      </c>
      <c r="AE47" s="129">
        <f t="shared" si="8"/>
        <v>0</v>
      </c>
      <c r="AF47" s="129">
        <f t="shared" si="8"/>
        <v>0</v>
      </c>
      <c r="AG47" s="129">
        <f t="shared" si="8"/>
        <v>7.1054273576010019E-15</v>
      </c>
      <c r="AH47" s="129">
        <f t="shared" si="8"/>
        <v>0</v>
      </c>
      <c r="AI47" s="129">
        <f t="shared" si="8"/>
        <v>0</v>
      </c>
      <c r="AJ47" s="129">
        <f t="shared" si="8"/>
        <v>0</v>
      </c>
      <c r="AK47" s="129">
        <f t="shared" si="8"/>
        <v>0</v>
      </c>
      <c r="AL47" s="129">
        <f t="shared" si="8"/>
        <v>0</v>
      </c>
      <c r="AM47" s="129">
        <f t="shared" si="8"/>
        <v>0</v>
      </c>
      <c r="AN47" s="129">
        <f t="shared" si="8"/>
        <v>0</v>
      </c>
      <c r="AO47" s="129">
        <f t="shared" si="8"/>
        <v>0</v>
      </c>
      <c r="AP47" s="129">
        <f t="shared" si="8"/>
        <v>0</v>
      </c>
      <c r="AQ47" s="129">
        <f t="shared" si="8"/>
        <v>0</v>
      </c>
      <c r="AR47" s="129">
        <f t="shared" si="8"/>
        <v>0</v>
      </c>
      <c r="AS47" s="129">
        <f t="shared" si="8"/>
        <v>0</v>
      </c>
      <c r="AT47" s="129">
        <f t="shared" si="8"/>
        <v>-7.1054273576010019E-15</v>
      </c>
      <c r="AU47" s="129">
        <f t="shared" si="8"/>
        <v>0</v>
      </c>
      <c r="AV47" s="129">
        <f t="shared" si="8"/>
        <v>0</v>
      </c>
      <c r="AW47" s="129">
        <f t="shared" si="8"/>
        <v>0</v>
      </c>
      <c r="AX47" s="129">
        <f t="shared" si="8"/>
        <v>0</v>
      </c>
      <c r="AY47" s="129">
        <f t="shared" si="8"/>
        <v>0</v>
      </c>
      <c r="AZ47" s="129">
        <f t="shared" si="8"/>
        <v>0</v>
      </c>
      <c r="BA47" s="129">
        <f t="shared" si="8"/>
        <v>0</v>
      </c>
      <c r="BB47" s="129">
        <f t="shared" si="8"/>
        <v>0</v>
      </c>
      <c r="BC47" s="129">
        <f t="shared" si="8"/>
        <v>0</v>
      </c>
      <c r="BD47" s="129">
        <f t="shared" si="8"/>
        <v>0</v>
      </c>
      <c r="BE47" s="129">
        <f t="shared" si="8"/>
        <v>0</v>
      </c>
      <c r="BF47" s="129">
        <f t="shared" si="8"/>
        <v>0</v>
      </c>
      <c r="BG47" s="129">
        <f t="shared" si="8"/>
        <v>0</v>
      </c>
      <c r="BH47" s="129">
        <f t="shared" si="8"/>
        <v>0</v>
      </c>
      <c r="BI47" s="129">
        <f t="shared" si="8"/>
        <v>0</v>
      </c>
      <c r="BJ47" s="129">
        <f t="shared" si="8"/>
        <v>0</v>
      </c>
      <c r="BK47" s="129">
        <f t="shared" si="8"/>
        <v>0</v>
      </c>
      <c r="BL47" s="129">
        <f t="shared" si="8"/>
        <v>0</v>
      </c>
      <c r="BM47" s="129">
        <f t="shared" si="8"/>
        <v>0</v>
      </c>
      <c r="BN47" s="129">
        <f t="shared" si="8"/>
        <v>0</v>
      </c>
      <c r="BO47" s="129">
        <f t="shared" ref="BO47:CS47" si="9">+BO46-BO19-BO20-BO21</f>
        <v>0</v>
      </c>
      <c r="BP47" s="129">
        <f t="shared" si="9"/>
        <v>0</v>
      </c>
      <c r="BQ47" s="129">
        <f t="shared" si="9"/>
        <v>0</v>
      </c>
      <c r="BR47" s="129">
        <f t="shared" si="9"/>
        <v>0</v>
      </c>
      <c r="BS47" s="129">
        <f t="shared" si="9"/>
        <v>0</v>
      </c>
      <c r="BT47" s="129">
        <f t="shared" si="9"/>
        <v>1.7763568394002505E-15</v>
      </c>
      <c r="BU47" s="129">
        <f t="shared" si="9"/>
        <v>0</v>
      </c>
      <c r="BV47" s="129">
        <f t="shared" si="9"/>
        <v>0</v>
      </c>
      <c r="BW47" s="129">
        <f t="shared" si="9"/>
        <v>0</v>
      </c>
      <c r="BX47" s="129">
        <f t="shared" si="9"/>
        <v>0</v>
      </c>
      <c r="BY47" s="129">
        <f t="shared" si="9"/>
        <v>0</v>
      </c>
      <c r="BZ47" s="129">
        <f t="shared" si="9"/>
        <v>0</v>
      </c>
      <c r="CA47" s="129">
        <f t="shared" si="9"/>
        <v>0</v>
      </c>
      <c r="CB47" s="129">
        <f t="shared" si="9"/>
        <v>0</v>
      </c>
      <c r="CC47" s="129">
        <f t="shared" si="9"/>
        <v>0</v>
      </c>
      <c r="CD47" s="129">
        <f t="shared" si="9"/>
        <v>0</v>
      </c>
      <c r="CE47" s="129">
        <f t="shared" si="9"/>
        <v>0</v>
      </c>
      <c r="CF47" s="129">
        <f t="shared" si="9"/>
        <v>0</v>
      </c>
      <c r="CG47" s="129">
        <f t="shared" si="9"/>
        <v>0</v>
      </c>
      <c r="CH47" s="129">
        <f t="shared" si="9"/>
        <v>0</v>
      </c>
      <c r="CI47" s="129">
        <f t="shared" si="9"/>
        <v>0</v>
      </c>
      <c r="CJ47" s="129">
        <f t="shared" si="9"/>
        <v>0</v>
      </c>
      <c r="CK47" s="129">
        <f>+CK46-CK19-CK20-CK21</f>
        <v>0</v>
      </c>
      <c r="CL47" s="129">
        <f>+CL46-CL19-CL20-CL21</f>
        <v>0</v>
      </c>
      <c r="CM47" s="129">
        <f t="shared" si="9"/>
        <v>0</v>
      </c>
      <c r="CN47" s="129">
        <f t="shared" si="9"/>
        <v>0</v>
      </c>
      <c r="CO47" s="129">
        <f t="shared" si="9"/>
        <v>0</v>
      </c>
      <c r="CP47" s="129">
        <f t="shared" si="9"/>
        <v>0</v>
      </c>
      <c r="CQ47" s="129">
        <f t="shared" si="9"/>
        <v>0</v>
      </c>
      <c r="CR47" s="129">
        <f t="shared" ref="CR47" si="10">+CR46-CR19-CR20-CR21</f>
        <v>0</v>
      </c>
      <c r="CS47" s="129">
        <f t="shared" si="9"/>
        <v>0</v>
      </c>
    </row>
    <row r="49" spans="97:97" ht="12.75" customHeight="1" x14ac:dyDescent="0.25">
      <c r="CS49" s="129"/>
    </row>
    <row r="50" spans="97:97" ht="12.75" customHeight="1" x14ac:dyDescent="0.25">
      <c r="CS50" s="129"/>
    </row>
    <row r="51" spans="97:97" ht="12.75" customHeight="1" x14ac:dyDescent="0.25">
      <c r="CS51" s="129"/>
    </row>
  </sheetData>
  <sheetProtection algorithmName="SHA-512" hashValue="fVd6ffHgp2KwB3xOs9TMyIxBiDp250upvrqLTw8btSayAvvBamfaaO7975cBEosmcQ1F11S+79ut6pnXtVYKFA==" saltValue="6UHskoDS+UuEEZe8QNg/CQ==" spinCount="100000" sheet="1" selectLockedCells="1" selectUnlockedCells="1"/>
  <mergeCells count="2">
    <mergeCell ref="CS33:CT33"/>
    <mergeCell ref="C32:D32"/>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96"/>
  <sheetViews>
    <sheetView showGridLines="0" zoomScaleNormal="100" workbookViewId="0">
      <pane ySplit="4" topLeftCell="A32" activePane="bottomLeft" state="frozen"/>
      <selection activeCell="J48" sqref="J48"/>
      <selection pane="bottomLeft" activeCell="J62" sqref="J62"/>
    </sheetView>
  </sheetViews>
  <sheetFormatPr defaultColWidth="9.1796875" defaultRowHeight="11.5" customHeight="1" x14ac:dyDescent="0.35"/>
  <cols>
    <col min="1" max="2" width="6.26953125" style="33" customWidth="1"/>
    <col min="3" max="3" width="48.453125" style="30" customWidth="1"/>
    <col min="4" max="4" width="6.26953125" style="37" customWidth="1"/>
    <col min="5" max="5" width="18.26953125" style="30" customWidth="1"/>
    <col min="6" max="6" width="0.81640625" style="30" customWidth="1"/>
    <col min="7" max="7" width="35.453125" style="27" bestFit="1" customWidth="1"/>
    <col min="8" max="255" width="9.1796875" style="27"/>
    <col min="256" max="257" width="6.26953125" style="27" customWidth="1"/>
    <col min="258" max="258" width="48.453125" style="27" customWidth="1"/>
    <col min="259" max="259" width="6.26953125" style="27" customWidth="1"/>
    <col min="260" max="260" width="18.26953125" style="27" customWidth="1"/>
    <col min="261" max="261" width="0.81640625" style="27" customWidth="1"/>
    <col min="262" max="262" width="9.1796875" style="27"/>
    <col min="263" max="263" width="35.453125" style="27" bestFit="1" customWidth="1"/>
    <col min="264" max="511" width="9.1796875" style="27"/>
    <col min="512" max="513" width="6.26953125" style="27" customWidth="1"/>
    <col min="514" max="514" width="48.453125" style="27" customWidth="1"/>
    <col min="515" max="515" width="6.26953125" style="27" customWidth="1"/>
    <col min="516" max="516" width="18.26953125" style="27" customWidth="1"/>
    <col min="517" max="517" width="0.81640625" style="27" customWidth="1"/>
    <col min="518" max="518" width="9.1796875" style="27"/>
    <col min="519" max="519" width="35.453125" style="27" bestFit="1" customWidth="1"/>
    <col min="520" max="767" width="9.1796875" style="27"/>
    <col min="768" max="769" width="6.26953125" style="27" customWidth="1"/>
    <col min="770" max="770" width="48.453125" style="27" customWidth="1"/>
    <col min="771" max="771" width="6.26953125" style="27" customWidth="1"/>
    <col min="772" max="772" width="18.26953125" style="27" customWidth="1"/>
    <col min="773" max="773" width="0.81640625" style="27" customWidth="1"/>
    <col min="774" max="774" width="9.1796875" style="27"/>
    <col min="775" max="775" width="35.453125" style="27" bestFit="1" customWidth="1"/>
    <col min="776" max="1023" width="9.1796875" style="27"/>
    <col min="1024" max="1025" width="6.26953125" style="27" customWidth="1"/>
    <col min="1026" max="1026" width="48.453125" style="27" customWidth="1"/>
    <col min="1027" max="1027" width="6.26953125" style="27" customWidth="1"/>
    <col min="1028" max="1028" width="18.26953125" style="27" customWidth="1"/>
    <col min="1029" max="1029" width="0.81640625" style="27" customWidth="1"/>
    <col min="1030" max="1030" width="9.1796875" style="27"/>
    <col min="1031" max="1031" width="35.453125" style="27" bestFit="1" customWidth="1"/>
    <col min="1032" max="1279" width="9.1796875" style="27"/>
    <col min="1280" max="1281" width="6.26953125" style="27" customWidth="1"/>
    <col min="1282" max="1282" width="48.453125" style="27" customWidth="1"/>
    <col min="1283" max="1283" width="6.26953125" style="27" customWidth="1"/>
    <col min="1284" max="1284" width="18.26953125" style="27" customWidth="1"/>
    <col min="1285" max="1285" width="0.81640625" style="27" customWidth="1"/>
    <col min="1286" max="1286" width="9.1796875" style="27"/>
    <col min="1287" max="1287" width="35.453125" style="27" bestFit="1" customWidth="1"/>
    <col min="1288" max="1535" width="9.1796875" style="27"/>
    <col min="1536" max="1537" width="6.26953125" style="27" customWidth="1"/>
    <col min="1538" max="1538" width="48.453125" style="27" customWidth="1"/>
    <col min="1539" max="1539" width="6.26953125" style="27" customWidth="1"/>
    <col min="1540" max="1540" width="18.26953125" style="27" customWidth="1"/>
    <col min="1541" max="1541" width="0.81640625" style="27" customWidth="1"/>
    <col min="1542" max="1542" width="9.1796875" style="27"/>
    <col min="1543" max="1543" width="35.453125" style="27" bestFit="1" customWidth="1"/>
    <col min="1544" max="1791" width="9.1796875" style="27"/>
    <col min="1792" max="1793" width="6.26953125" style="27" customWidth="1"/>
    <col min="1794" max="1794" width="48.453125" style="27" customWidth="1"/>
    <col min="1795" max="1795" width="6.26953125" style="27" customWidth="1"/>
    <col min="1796" max="1796" width="18.26953125" style="27" customWidth="1"/>
    <col min="1797" max="1797" width="0.81640625" style="27" customWidth="1"/>
    <col min="1798" max="1798" width="9.1796875" style="27"/>
    <col min="1799" max="1799" width="35.453125" style="27" bestFit="1" customWidth="1"/>
    <col min="1800" max="2047" width="9.1796875" style="27"/>
    <col min="2048" max="2049" width="6.26953125" style="27" customWidth="1"/>
    <col min="2050" max="2050" width="48.453125" style="27" customWidth="1"/>
    <col min="2051" max="2051" width="6.26953125" style="27" customWidth="1"/>
    <col min="2052" max="2052" width="18.26953125" style="27" customWidth="1"/>
    <col min="2053" max="2053" width="0.81640625" style="27" customWidth="1"/>
    <col min="2054" max="2054" width="9.1796875" style="27"/>
    <col min="2055" max="2055" width="35.453125" style="27" bestFit="1" customWidth="1"/>
    <col min="2056" max="2303" width="9.1796875" style="27"/>
    <col min="2304" max="2305" width="6.26953125" style="27" customWidth="1"/>
    <col min="2306" max="2306" width="48.453125" style="27" customWidth="1"/>
    <col min="2307" max="2307" width="6.26953125" style="27" customWidth="1"/>
    <col min="2308" max="2308" width="18.26953125" style="27" customWidth="1"/>
    <col min="2309" max="2309" width="0.81640625" style="27" customWidth="1"/>
    <col min="2310" max="2310" width="9.1796875" style="27"/>
    <col min="2311" max="2311" width="35.453125" style="27" bestFit="1" customWidth="1"/>
    <col min="2312" max="2559" width="9.1796875" style="27"/>
    <col min="2560" max="2561" width="6.26953125" style="27" customWidth="1"/>
    <col min="2562" max="2562" width="48.453125" style="27" customWidth="1"/>
    <col min="2563" max="2563" width="6.26953125" style="27" customWidth="1"/>
    <col min="2564" max="2564" width="18.26953125" style="27" customWidth="1"/>
    <col min="2565" max="2565" width="0.81640625" style="27" customWidth="1"/>
    <col min="2566" max="2566" width="9.1796875" style="27"/>
    <col min="2567" max="2567" width="35.453125" style="27" bestFit="1" customWidth="1"/>
    <col min="2568" max="2815" width="9.1796875" style="27"/>
    <col min="2816" max="2817" width="6.26953125" style="27" customWidth="1"/>
    <col min="2818" max="2818" width="48.453125" style="27" customWidth="1"/>
    <col min="2819" max="2819" width="6.26953125" style="27" customWidth="1"/>
    <col min="2820" max="2820" width="18.26953125" style="27" customWidth="1"/>
    <col min="2821" max="2821" width="0.81640625" style="27" customWidth="1"/>
    <col min="2822" max="2822" width="9.1796875" style="27"/>
    <col min="2823" max="2823" width="35.453125" style="27" bestFit="1" customWidth="1"/>
    <col min="2824" max="3071" width="9.1796875" style="27"/>
    <col min="3072" max="3073" width="6.26953125" style="27" customWidth="1"/>
    <col min="3074" max="3074" width="48.453125" style="27" customWidth="1"/>
    <col min="3075" max="3075" width="6.26953125" style="27" customWidth="1"/>
    <col min="3076" max="3076" width="18.26953125" style="27" customWidth="1"/>
    <col min="3077" max="3077" width="0.81640625" style="27" customWidth="1"/>
    <col min="3078" max="3078" width="9.1796875" style="27"/>
    <col min="3079" max="3079" width="35.453125" style="27" bestFit="1" customWidth="1"/>
    <col min="3080" max="3327" width="9.1796875" style="27"/>
    <col min="3328" max="3329" width="6.26953125" style="27" customWidth="1"/>
    <col min="3330" max="3330" width="48.453125" style="27" customWidth="1"/>
    <col min="3331" max="3331" width="6.26953125" style="27" customWidth="1"/>
    <col min="3332" max="3332" width="18.26953125" style="27" customWidth="1"/>
    <col min="3333" max="3333" width="0.81640625" style="27" customWidth="1"/>
    <col min="3334" max="3334" width="9.1796875" style="27"/>
    <col min="3335" max="3335" width="35.453125" style="27" bestFit="1" customWidth="1"/>
    <col min="3336" max="3583" width="9.1796875" style="27"/>
    <col min="3584" max="3585" width="6.26953125" style="27" customWidth="1"/>
    <col min="3586" max="3586" width="48.453125" style="27" customWidth="1"/>
    <col min="3587" max="3587" width="6.26953125" style="27" customWidth="1"/>
    <col min="3588" max="3588" width="18.26953125" style="27" customWidth="1"/>
    <col min="3589" max="3589" width="0.81640625" style="27" customWidth="1"/>
    <col min="3590" max="3590" width="9.1796875" style="27"/>
    <col min="3591" max="3591" width="35.453125" style="27" bestFit="1" customWidth="1"/>
    <col min="3592" max="3839" width="9.1796875" style="27"/>
    <col min="3840" max="3841" width="6.26953125" style="27" customWidth="1"/>
    <col min="3842" max="3842" width="48.453125" style="27" customWidth="1"/>
    <col min="3843" max="3843" width="6.26953125" style="27" customWidth="1"/>
    <col min="3844" max="3844" width="18.26953125" style="27" customWidth="1"/>
    <col min="3845" max="3845" width="0.81640625" style="27" customWidth="1"/>
    <col min="3846" max="3846" width="9.1796875" style="27"/>
    <col min="3847" max="3847" width="35.453125" style="27" bestFit="1" customWidth="1"/>
    <col min="3848" max="4095" width="9.1796875" style="27"/>
    <col min="4096" max="4097" width="6.26953125" style="27" customWidth="1"/>
    <col min="4098" max="4098" width="48.453125" style="27" customWidth="1"/>
    <col min="4099" max="4099" width="6.26953125" style="27" customWidth="1"/>
    <col min="4100" max="4100" width="18.26953125" style="27" customWidth="1"/>
    <col min="4101" max="4101" width="0.81640625" style="27" customWidth="1"/>
    <col min="4102" max="4102" width="9.1796875" style="27"/>
    <col min="4103" max="4103" width="35.453125" style="27" bestFit="1" customWidth="1"/>
    <col min="4104" max="4351" width="9.1796875" style="27"/>
    <col min="4352" max="4353" width="6.26953125" style="27" customWidth="1"/>
    <col min="4354" max="4354" width="48.453125" style="27" customWidth="1"/>
    <col min="4355" max="4355" width="6.26953125" style="27" customWidth="1"/>
    <col min="4356" max="4356" width="18.26953125" style="27" customWidth="1"/>
    <col min="4357" max="4357" width="0.81640625" style="27" customWidth="1"/>
    <col min="4358" max="4358" width="9.1796875" style="27"/>
    <col min="4359" max="4359" width="35.453125" style="27" bestFit="1" customWidth="1"/>
    <col min="4360" max="4607" width="9.1796875" style="27"/>
    <col min="4608" max="4609" width="6.26953125" style="27" customWidth="1"/>
    <col min="4610" max="4610" width="48.453125" style="27" customWidth="1"/>
    <col min="4611" max="4611" width="6.26953125" style="27" customWidth="1"/>
    <col min="4612" max="4612" width="18.26953125" style="27" customWidth="1"/>
    <col min="4613" max="4613" width="0.81640625" style="27" customWidth="1"/>
    <col min="4614" max="4614" width="9.1796875" style="27"/>
    <col min="4615" max="4615" width="35.453125" style="27" bestFit="1" customWidth="1"/>
    <col min="4616" max="4863" width="9.1796875" style="27"/>
    <col min="4864" max="4865" width="6.26953125" style="27" customWidth="1"/>
    <col min="4866" max="4866" width="48.453125" style="27" customWidth="1"/>
    <col min="4867" max="4867" width="6.26953125" style="27" customWidth="1"/>
    <col min="4868" max="4868" width="18.26953125" style="27" customWidth="1"/>
    <col min="4869" max="4869" width="0.81640625" style="27" customWidth="1"/>
    <col min="4870" max="4870" width="9.1796875" style="27"/>
    <col min="4871" max="4871" width="35.453125" style="27" bestFit="1" customWidth="1"/>
    <col min="4872" max="5119" width="9.1796875" style="27"/>
    <col min="5120" max="5121" width="6.26953125" style="27" customWidth="1"/>
    <col min="5122" max="5122" width="48.453125" style="27" customWidth="1"/>
    <col min="5123" max="5123" width="6.26953125" style="27" customWidth="1"/>
    <col min="5124" max="5124" width="18.26953125" style="27" customWidth="1"/>
    <col min="5125" max="5125" width="0.81640625" style="27" customWidth="1"/>
    <col min="5126" max="5126" width="9.1796875" style="27"/>
    <col min="5127" max="5127" width="35.453125" style="27" bestFit="1" customWidth="1"/>
    <col min="5128" max="5375" width="9.1796875" style="27"/>
    <col min="5376" max="5377" width="6.26953125" style="27" customWidth="1"/>
    <col min="5378" max="5378" width="48.453125" style="27" customWidth="1"/>
    <col min="5379" max="5379" width="6.26953125" style="27" customWidth="1"/>
    <col min="5380" max="5380" width="18.26953125" style="27" customWidth="1"/>
    <col min="5381" max="5381" width="0.81640625" style="27" customWidth="1"/>
    <col min="5382" max="5382" width="9.1796875" style="27"/>
    <col min="5383" max="5383" width="35.453125" style="27" bestFit="1" customWidth="1"/>
    <col min="5384" max="5631" width="9.1796875" style="27"/>
    <col min="5632" max="5633" width="6.26953125" style="27" customWidth="1"/>
    <col min="5634" max="5634" width="48.453125" style="27" customWidth="1"/>
    <col min="5635" max="5635" width="6.26953125" style="27" customWidth="1"/>
    <col min="5636" max="5636" width="18.26953125" style="27" customWidth="1"/>
    <col min="5637" max="5637" width="0.81640625" style="27" customWidth="1"/>
    <col min="5638" max="5638" width="9.1796875" style="27"/>
    <col min="5639" max="5639" width="35.453125" style="27" bestFit="1" customWidth="1"/>
    <col min="5640" max="5887" width="9.1796875" style="27"/>
    <col min="5888" max="5889" width="6.26953125" style="27" customWidth="1"/>
    <col min="5890" max="5890" width="48.453125" style="27" customWidth="1"/>
    <col min="5891" max="5891" width="6.26953125" style="27" customWidth="1"/>
    <col min="5892" max="5892" width="18.26953125" style="27" customWidth="1"/>
    <col min="5893" max="5893" width="0.81640625" style="27" customWidth="1"/>
    <col min="5894" max="5894" width="9.1796875" style="27"/>
    <col min="5895" max="5895" width="35.453125" style="27" bestFit="1" customWidth="1"/>
    <col min="5896" max="6143" width="9.1796875" style="27"/>
    <col min="6144" max="6145" width="6.26953125" style="27" customWidth="1"/>
    <col min="6146" max="6146" width="48.453125" style="27" customWidth="1"/>
    <col min="6147" max="6147" width="6.26953125" style="27" customWidth="1"/>
    <col min="6148" max="6148" width="18.26953125" style="27" customWidth="1"/>
    <col min="6149" max="6149" width="0.81640625" style="27" customWidth="1"/>
    <col min="6150" max="6150" width="9.1796875" style="27"/>
    <col min="6151" max="6151" width="35.453125" style="27" bestFit="1" customWidth="1"/>
    <col min="6152" max="6399" width="9.1796875" style="27"/>
    <col min="6400" max="6401" width="6.26953125" style="27" customWidth="1"/>
    <col min="6402" max="6402" width="48.453125" style="27" customWidth="1"/>
    <col min="6403" max="6403" width="6.26953125" style="27" customWidth="1"/>
    <col min="6404" max="6404" width="18.26953125" style="27" customWidth="1"/>
    <col min="6405" max="6405" width="0.81640625" style="27" customWidth="1"/>
    <col min="6406" max="6406" width="9.1796875" style="27"/>
    <col min="6407" max="6407" width="35.453125" style="27" bestFit="1" customWidth="1"/>
    <col min="6408" max="6655" width="9.1796875" style="27"/>
    <col min="6656" max="6657" width="6.26953125" style="27" customWidth="1"/>
    <col min="6658" max="6658" width="48.453125" style="27" customWidth="1"/>
    <col min="6659" max="6659" width="6.26953125" style="27" customWidth="1"/>
    <col min="6660" max="6660" width="18.26953125" style="27" customWidth="1"/>
    <col min="6661" max="6661" width="0.81640625" style="27" customWidth="1"/>
    <col min="6662" max="6662" width="9.1796875" style="27"/>
    <col min="6663" max="6663" width="35.453125" style="27" bestFit="1" customWidth="1"/>
    <col min="6664" max="6911" width="9.1796875" style="27"/>
    <col min="6912" max="6913" width="6.26953125" style="27" customWidth="1"/>
    <col min="6914" max="6914" width="48.453125" style="27" customWidth="1"/>
    <col min="6915" max="6915" width="6.26953125" style="27" customWidth="1"/>
    <col min="6916" max="6916" width="18.26953125" style="27" customWidth="1"/>
    <col min="6917" max="6917" width="0.81640625" style="27" customWidth="1"/>
    <col min="6918" max="6918" width="9.1796875" style="27"/>
    <col min="6919" max="6919" width="35.453125" style="27" bestFit="1" customWidth="1"/>
    <col min="6920" max="7167" width="9.1796875" style="27"/>
    <col min="7168" max="7169" width="6.26953125" style="27" customWidth="1"/>
    <col min="7170" max="7170" width="48.453125" style="27" customWidth="1"/>
    <col min="7171" max="7171" width="6.26953125" style="27" customWidth="1"/>
    <col min="7172" max="7172" width="18.26953125" style="27" customWidth="1"/>
    <col min="7173" max="7173" width="0.81640625" style="27" customWidth="1"/>
    <col min="7174" max="7174" width="9.1796875" style="27"/>
    <col min="7175" max="7175" width="35.453125" style="27" bestFit="1" customWidth="1"/>
    <col min="7176" max="7423" width="9.1796875" style="27"/>
    <col min="7424" max="7425" width="6.26953125" style="27" customWidth="1"/>
    <col min="7426" max="7426" width="48.453125" style="27" customWidth="1"/>
    <col min="7427" max="7427" width="6.26953125" style="27" customWidth="1"/>
    <col min="7428" max="7428" width="18.26953125" style="27" customWidth="1"/>
    <col min="7429" max="7429" width="0.81640625" style="27" customWidth="1"/>
    <col min="7430" max="7430" width="9.1796875" style="27"/>
    <col min="7431" max="7431" width="35.453125" style="27" bestFit="1" customWidth="1"/>
    <col min="7432" max="7679" width="9.1796875" style="27"/>
    <col min="7680" max="7681" width="6.26953125" style="27" customWidth="1"/>
    <col min="7682" max="7682" width="48.453125" style="27" customWidth="1"/>
    <col min="7683" max="7683" width="6.26953125" style="27" customWidth="1"/>
    <col min="7684" max="7684" width="18.26953125" style="27" customWidth="1"/>
    <col min="7685" max="7685" width="0.81640625" style="27" customWidth="1"/>
    <col min="7686" max="7686" width="9.1796875" style="27"/>
    <col min="7687" max="7687" width="35.453125" style="27" bestFit="1" customWidth="1"/>
    <col min="7688" max="7935" width="9.1796875" style="27"/>
    <col min="7936" max="7937" width="6.26953125" style="27" customWidth="1"/>
    <col min="7938" max="7938" width="48.453125" style="27" customWidth="1"/>
    <col min="7939" max="7939" width="6.26953125" style="27" customWidth="1"/>
    <col min="7940" max="7940" width="18.26953125" style="27" customWidth="1"/>
    <col min="7941" max="7941" width="0.81640625" style="27" customWidth="1"/>
    <col min="7942" max="7942" width="9.1796875" style="27"/>
    <col min="7943" max="7943" width="35.453125" style="27" bestFit="1" customWidth="1"/>
    <col min="7944" max="8191" width="9.1796875" style="27"/>
    <col min="8192" max="8193" width="6.26953125" style="27" customWidth="1"/>
    <col min="8194" max="8194" width="48.453125" style="27" customWidth="1"/>
    <col min="8195" max="8195" width="6.26953125" style="27" customWidth="1"/>
    <col min="8196" max="8196" width="18.26953125" style="27" customWidth="1"/>
    <col min="8197" max="8197" width="0.81640625" style="27" customWidth="1"/>
    <col min="8198" max="8198" width="9.1796875" style="27"/>
    <col min="8199" max="8199" width="35.453125" style="27" bestFit="1" customWidth="1"/>
    <col min="8200" max="8447" width="9.1796875" style="27"/>
    <col min="8448" max="8449" width="6.26953125" style="27" customWidth="1"/>
    <col min="8450" max="8450" width="48.453125" style="27" customWidth="1"/>
    <col min="8451" max="8451" width="6.26953125" style="27" customWidth="1"/>
    <col min="8452" max="8452" width="18.26953125" style="27" customWidth="1"/>
    <col min="8453" max="8453" width="0.81640625" style="27" customWidth="1"/>
    <col min="8454" max="8454" width="9.1796875" style="27"/>
    <col min="8455" max="8455" width="35.453125" style="27" bestFit="1" customWidth="1"/>
    <col min="8456" max="8703" width="9.1796875" style="27"/>
    <col min="8704" max="8705" width="6.26953125" style="27" customWidth="1"/>
    <col min="8706" max="8706" width="48.453125" style="27" customWidth="1"/>
    <col min="8707" max="8707" width="6.26953125" style="27" customWidth="1"/>
    <col min="8708" max="8708" width="18.26953125" style="27" customWidth="1"/>
    <col min="8709" max="8709" width="0.81640625" style="27" customWidth="1"/>
    <col min="8710" max="8710" width="9.1796875" style="27"/>
    <col min="8711" max="8711" width="35.453125" style="27" bestFit="1" customWidth="1"/>
    <col min="8712" max="8959" width="9.1796875" style="27"/>
    <col min="8960" max="8961" width="6.26953125" style="27" customWidth="1"/>
    <col min="8962" max="8962" width="48.453125" style="27" customWidth="1"/>
    <col min="8963" max="8963" width="6.26953125" style="27" customWidth="1"/>
    <col min="8964" max="8964" width="18.26953125" style="27" customWidth="1"/>
    <col min="8965" max="8965" width="0.81640625" style="27" customWidth="1"/>
    <col min="8966" max="8966" width="9.1796875" style="27"/>
    <col min="8967" max="8967" width="35.453125" style="27" bestFit="1" customWidth="1"/>
    <col min="8968" max="9215" width="9.1796875" style="27"/>
    <col min="9216" max="9217" width="6.26953125" style="27" customWidth="1"/>
    <col min="9218" max="9218" width="48.453125" style="27" customWidth="1"/>
    <col min="9219" max="9219" width="6.26953125" style="27" customWidth="1"/>
    <col min="9220" max="9220" width="18.26953125" style="27" customWidth="1"/>
    <col min="9221" max="9221" width="0.81640625" style="27" customWidth="1"/>
    <col min="9222" max="9222" width="9.1796875" style="27"/>
    <col min="9223" max="9223" width="35.453125" style="27" bestFit="1" customWidth="1"/>
    <col min="9224" max="9471" width="9.1796875" style="27"/>
    <col min="9472" max="9473" width="6.26953125" style="27" customWidth="1"/>
    <col min="9474" max="9474" width="48.453125" style="27" customWidth="1"/>
    <col min="9475" max="9475" width="6.26953125" style="27" customWidth="1"/>
    <col min="9476" max="9476" width="18.26953125" style="27" customWidth="1"/>
    <col min="9477" max="9477" width="0.81640625" style="27" customWidth="1"/>
    <col min="9478" max="9478" width="9.1796875" style="27"/>
    <col min="9479" max="9479" width="35.453125" style="27" bestFit="1" customWidth="1"/>
    <col min="9480" max="9727" width="9.1796875" style="27"/>
    <col min="9728" max="9729" width="6.26953125" style="27" customWidth="1"/>
    <col min="9730" max="9730" width="48.453125" style="27" customWidth="1"/>
    <col min="9731" max="9731" width="6.26953125" style="27" customWidth="1"/>
    <col min="9732" max="9732" width="18.26953125" style="27" customWidth="1"/>
    <col min="9733" max="9733" width="0.81640625" style="27" customWidth="1"/>
    <col min="9734" max="9734" width="9.1796875" style="27"/>
    <col min="9735" max="9735" width="35.453125" style="27" bestFit="1" customWidth="1"/>
    <col min="9736" max="9983" width="9.1796875" style="27"/>
    <col min="9984" max="9985" width="6.26953125" style="27" customWidth="1"/>
    <col min="9986" max="9986" width="48.453125" style="27" customWidth="1"/>
    <col min="9987" max="9987" width="6.26953125" style="27" customWidth="1"/>
    <col min="9988" max="9988" width="18.26953125" style="27" customWidth="1"/>
    <col min="9989" max="9989" width="0.81640625" style="27" customWidth="1"/>
    <col min="9990" max="9990" width="9.1796875" style="27"/>
    <col min="9991" max="9991" width="35.453125" style="27" bestFit="1" customWidth="1"/>
    <col min="9992" max="10239" width="9.1796875" style="27"/>
    <col min="10240" max="10241" width="6.26953125" style="27" customWidth="1"/>
    <col min="10242" max="10242" width="48.453125" style="27" customWidth="1"/>
    <col min="10243" max="10243" width="6.26953125" style="27" customWidth="1"/>
    <col min="10244" max="10244" width="18.26953125" style="27" customWidth="1"/>
    <col min="10245" max="10245" width="0.81640625" style="27" customWidth="1"/>
    <col min="10246" max="10246" width="9.1796875" style="27"/>
    <col min="10247" max="10247" width="35.453125" style="27" bestFit="1" customWidth="1"/>
    <col min="10248" max="10495" width="9.1796875" style="27"/>
    <col min="10496" max="10497" width="6.26953125" style="27" customWidth="1"/>
    <col min="10498" max="10498" width="48.453125" style="27" customWidth="1"/>
    <col min="10499" max="10499" width="6.26953125" style="27" customWidth="1"/>
    <col min="10500" max="10500" width="18.26953125" style="27" customWidth="1"/>
    <col min="10501" max="10501" width="0.81640625" style="27" customWidth="1"/>
    <col min="10502" max="10502" width="9.1796875" style="27"/>
    <col min="10503" max="10503" width="35.453125" style="27" bestFit="1" customWidth="1"/>
    <col min="10504" max="10751" width="9.1796875" style="27"/>
    <col min="10752" max="10753" width="6.26953125" style="27" customWidth="1"/>
    <col min="10754" max="10754" width="48.453125" style="27" customWidth="1"/>
    <col min="10755" max="10755" width="6.26953125" style="27" customWidth="1"/>
    <col min="10756" max="10756" width="18.26953125" style="27" customWidth="1"/>
    <col min="10757" max="10757" width="0.81640625" style="27" customWidth="1"/>
    <col min="10758" max="10758" width="9.1796875" style="27"/>
    <col min="10759" max="10759" width="35.453125" style="27" bestFit="1" customWidth="1"/>
    <col min="10760" max="11007" width="9.1796875" style="27"/>
    <col min="11008" max="11009" width="6.26953125" style="27" customWidth="1"/>
    <col min="11010" max="11010" width="48.453125" style="27" customWidth="1"/>
    <col min="11011" max="11011" width="6.26953125" style="27" customWidth="1"/>
    <col min="11012" max="11012" width="18.26953125" style="27" customWidth="1"/>
    <col min="11013" max="11013" width="0.81640625" style="27" customWidth="1"/>
    <col min="11014" max="11014" width="9.1796875" style="27"/>
    <col min="11015" max="11015" width="35.453125" style="27" bestFit="1" customWidth="1"/>
    <col min="11016" max="11263" width="9.1796875" style="27"/>
    <col min="11264" max="11265" width="6.26953125" style="27" customWidth="1"/>
    <col min="11266" max="11266" width="48.453125" style="27" customWidth="1"/>
    <col min="11267" max="11267" width="6.26953125" style="27" customWidth="1"/>
    <col min="11268" max="11268" width="18.26953125" style="27" customWidth="1"/>
    <col min="11269" max="11269" width="0.81640625" style="27" customWidth="1"/>
    <col min="11270" max="11270" width="9.1796875" style="27"/>
    <col min="11271" max="11271" width="35.453125" style="27" bestFit="1" customWidth="1"/>
    <col min="11272" max="11519" width="9.1796875" style="27"/>
    <col min="11520" max="11521" width="6.26953125" style="27" customWidth="1"/>
    <col min="11522" max="11522" width="48.453125" style="27" customWidth="1"/>
    <col min="11523" max="11523" width="6.26953125" style="27" customWidth="1"/>
    <col min="11524" max="11524" width="18.26953125" style="27" customWidth="1"/>
    <col min="11525" max="11525" width="0.81640625" style="27" customWidth="1"/>
    <col min="11526" max="11526" width="9.1796875" style="27"/>
    <col min="11527" max="11527" width="35.453125" style="27" bestFit="1" customWidth="1"/>
    <col min="11528" max="11775" width="9.1796875" style="27"/>
    <col min="11776" max="11777" width="6.26953125" style="27" customWidth="1"/>
    <col min="11778" max="11778" width="48.453125" style="27" customWidth="1"/>
    <col min="11779" max="11779" width="6.26953125" style="27" customWidth="1"/>
    <col min="11780" max="11780" width="18.26953125" style="27" customWidth="1"/>
    <col min="11781" max="11781" width="0.81640625" style="27" customWidth="1"/>
    <col min="11782" max="11782" width="9.1796875" style="27"/>
    <col min="11783" max="11783" width="35.453125" style="27" bestFit="1" customWidth="1"/>
    <col min="11784" max="12031" width="9.1796875" style="27"/>
    <col min="12032" max="12033" width="6.26953125" style="27" customWidth="1"/>
    <col min="12034" max="12034" width="48.453125" style="27" customWidth="1"/>
    <col min="12035" max="12035" width="6.26953125" style="27" customWidth="1"/>
    <col min="12036" max="12036" width="18.26953125" style="27" customWidth="1"/>
    <col min="12037" max="12037" width="0.81640625" style="27" customWidth="1"/>
    <col min="12038" max="12038" width="9.1796875" style="27"/>
    <col min="12039" max="12039" width="35.453125" style="27" bestFit="1" customWidth="1"/>
    <col min="12040" max="12287" width="9.1796875" style="27"/>
    <col min="12288" max="12289" width="6.26953125" style="27" customWidth="1"/>
    <col min="12290" max="12290" width="48.453125" style="27" customWidth="1"/>
    <col min="12291" max="12291" width="6.26953125" style="27" customWidth="1"/>
    <col min="12292" max="12292" width="18.26953125" style="27" customWidth="1"/>
    <col min="12293" max="12293" width="0.81640625" style="27" customWidth="1"/>
    <col min="12294" max="12294" width="9.1796875" style="27"/>
    <col min="12295" max="12295" width="35.453125" style="27" bestFit="1" customWidth="1"/>
    <col min="12296" max="12543" width="9.1796875" style="27"/>
    <col min="12544" max="12545" width="6.26953125" style="27" customWidth="1"/>
    <col min="12546" max="12546" width="48.453125" style="27" customWidth="1"/>
    <col min="12547" max="12547" width="6.26953125" style="27" customWidth="1"/>
    <col min="12548" max="12548" width="18.26953125" style="27" customWidth="1"/>
    <col min="12549" max="12549" width="0.81640625" style="27" customWidth="1"/>
    <col min="12550" max="12550" width="9.1796875" style="27"/>
    <col min="12551" max="12551" width="35.453125" style="27" bestFit="1" customWidth="1"/>
    <col min="12552" max="12799" width="9.1796875" style="27"/>
    <col min="12800" max="12801" width="6.26953125" style="27" customWidth="1"/>
    <col min="12802" max="12802" width="48.453125" style="27" customWidth="1"/>
    <col min="12803" max="12803" width="6.26953125" style="27" customWidth="1"/>
    <col min="12804" max="12804" width="18.26953125" style="27" customWidth="1"/>
    <col min="12805" max="12805" width="0.81640625" style="27" customWidth="1"/>
    <col min="12806" max="12806" width="9.1796875" style="27"/>
    <col min="12807" max="12807" width="35.453125" style="27" bestFit="1" customWidth="1"/>
    <col min="12808" max="13055" width="9.1796875" style="27"/>
    <col min="13056" max="13057" width="6.26953125" style="27" customWidth="1"/>
    <col min="13058" max="13058" width="48.453125" style="27" customWidth="1"/>
    <col min="13059" max="13059" width="6.26953125" style="27" customWidth="1"/>
    <col min="13060" max="13060" width="18.26953125" style="27" customWidth="1"/>
    <col min="13061" max="13061" width="0.81640625" style="27" customWidth="1"/>
    <col min="13062" max="13062" width="9.1796875" style="27"/>
    <col min="13063" max="13063" width="35.453125" style="27" bestFit="1" customWidth="1"/>
    <col min="13064" max="13311" width="9.1796875" style="27"/>
    <col min="13312" max="13313" width="6.26953125" style="27" customWidth="1"/>
    <col min="13314" max="13314" width="48.453125" style="27" customWidth="1"/>
    <col min="13315" max="13315" width="6.26953125" style="27" customWidth="1"/>
    <col min="13316" max="13316" width="18.26953125" style="27" customWidth="1"/>
    <col min="13317" max="13317" width="0.81640625" style="27" customWidth="1"/>
    <col min="13318" max="13318" width="9.1796875" style="27"/>
    <col min="13319" max="13319" width="35.453125" style="27" bestFit="1" customWidth="1"/>
    <col min="13320" max="13567" width="9.1796875" style="27"/>
    <col min="13568" max="13569" width="6.26953125" style="27" customWidth="1"/>
    <col min="13570" max="13570" width="48.453125" style="27" customWidth="1"/>
    <col min="13571" max="13571" width="6.26953125" style="27" customWidth="1"/>
    <col min="13572" max="13572" width="18.26953125" style="27" customWidth="1"/>
    <col min="13573" max="13573" width="0.81640625" style="27" customWidth="1"/>
    <col min="13574" max="13574" width="9.1796875" style="27"/>
    <col min="13575" max="13575" width="35.453125" style="27" bestFit="1" customWidth="1"/>
    <col min="13576" max="13823" width="9.1796875" style="27"/>
    <col min="13824" max="13825" width="6.26953125" style="27" customWidth="1"/>
    <col min="13826" max="13826" width="48.453125" style="27" customWidth="1"/>
    <col min="13827" max="13827" width="6.26953125" style="27" customWidth="1"/>
    <col min="13828" max="13828" width="18.26953125" style="27" customWidth="1"/>
    <col min="13829" max="13829" width="0.81640625" style="27" customWidth="1"/>
    <col min="13830" max="13830" width="9.1796875" style="27"/>
    <col min="13831" max="13831" width="35.453125" style="27" bestFit="1" customWidth="1"/>
    <col min="13832" max="14079" width="9.1796875" style="27"/>
    <col min="14080" max="14081" width="6.26953125" style="27" customWidth="1"/>
    <col min="14082" max="14082" width="48.453125" style="27" customWidth="1"/>
    <col min="14083" max="14083" width="6.26953125" style="27" customWidth="1"/>
    <col min="14084" max="14084" width="18.26953125" style="27" customWidth="1"/>
    <col min="14085" max="14085" width="0.81640625" style="27" customWidth="1"/>
    <col min="14086" max="14086" width="9.1796875" style="27"/>
    <col min="14087" max="14087" width="35.453125" style="27" bestFit="1" customWidth="1"/>
    <col min="14088" max="14335" width="9.1796875" style="27"/>
    <col min="14336" max="14337" width="6.26953125" style="27" customWidth="1"/>
    <col min="14338" max="14338" width="48.453125" style="27" customWidth="1"/>
    <col min="14339" max="14339" width="6.26953125" style="27" customWidth="1"/>
    <col min="14340" max="14340" width="18.26953125" style="27" customWidth="1"/>
    <col min="14341" max="14341" width="0.81640625" style="27" customWidth="1"/>
    <col min="14342" max="14342" width="9.1796875" style="27"/>
    <col min="14343" max="14343" width="35.453125" style="27" bestFit="1" customWidth="1"/>
    <col min="14344" max="14591" width="9.1796875" style="27"/>
    <col min="14592" max="14593" width="6.26953125" style="27" customWidth="1"/>
    <col min="14594" max="14594" width="48.453125" style="27" customWidth="1"/>
    <col min="14595" max="14595" width="6.26953125" style="27" customWidth="1"/>
    <col min="14596" max="14596" width="18.26953125" style="27" customWidth="1"/>
    <col min="14597" max="14597" width="0.81640625" style="27" customWidth="1"/>
    <col min="14598" max="14598" width="9.1796875" style="27"/>
    <col min="14599" max="14599" width="35.453125" style="27" bestFit="1" customWidth="1"/>
    <col min="14600" max="14847" width="9.1796875" style="27"/>
    <col min="14848" max="14849" width="6.26953125" style="27" customWidth="1"/>
    <col min="14850" max="14850" width="48.453125" style="27" customWidth="1"/>
    <col min="14851" max="14851" width="6.26953125" style="27" customWidth="1"/>
    <col min="14852" max="14852" width="18.26953125" style="27" customWidth="1"/>
    <col min="14853" max="14853" width="0.81640625" style="27" customWidth="1"/>
    <col min="14854" max="14854" width="9.1796875" style="27"/>
    <col min="14855" max="14855" width="35.453125" style="27" bestFit="1" customWidth="1"/>
    <col min="14856" max="15103" width="9.1796875" style="27"/>
    <col min="15104" max="15105" width="6.26953125" style="27" customWidth="1"/>
    <col min="15106" max="15106" width="48.453125" style="27" customWidth="1"/>
    <col min="15107" max="15107" width="6.26953125" style="27" customWidth="1"/>
    <col min="15108" max="15108" width="18.26953125" style="27" customWidth="1"/>
    <col min="15109" max="15109" width="0.81640625" style="27" customWidth="1"/>
    <col min="15110" max="15110" width="9.1796875" style="27"/>
    <col min="15111" max="15111" width="35.453125" style="27" bestFit="1" customWidth="1"/>
    <col min="15112" max="15359" width="9.1796875" style="27"/>
    <col min="15360" max="15361" width="6.26953125" style="27" customWidth="1"/>
    <col min="15362" max="15362" width="48.453125" style="27" customWidth="1"/>
    <col min="15363" max="15363" width="6.26953125" style="27" customWidth="1"/>
    <col min="15364" max="15364" width="18.26953125" style="27" customWidth="1"/>
    <col min="15365" max="15365" width="0.81640625" style="27" customWidth="1"/>
    <col min="15366" max="15366" width="9.1796875" style="27"/>
    <col min="15367" max="15367" width="35.453125" style="27" bestFit="1" customWidth="1"/>
    <col min="15368" max="15615" width="9.1796875" style="27"/>
    <col min="15616" max="15617" width="6.26953125" style="27" customWidth="1"/>
    <col min="15618" max="15618" width="48.453125" style="27" customWidth="1"/>
    <col min="15619" max="15619" width="6.26953125" style="27" customWidth="1"/>
    <col min="15620" max="15620" width="18.26953125" style="27" customWidth="1"/>
    <col min="15621" max="15621" width="0.81640625" style="27" customWidth="1"/>
    <col min="15622" max="15622" width="9.1796875" style="27"/>
    <col min="15623" max="15623" width="35.453125" style="27" bestFit="1" customWidth="1"/>
    <col min="15624" max="15871" width="9.1796875" style="27"/>
    <col min="15872" max="15873" width="6.26953125" style="27" customWidth="1"/>
    <col min="15874" max="15874" width="48.453125" style="27" customWidth="1"/>
    <col min="15875" max="15875" width="6.26953125" style="27" customWidth="1"/>
    <col min="15876" max="15876" width="18.26953125" style="27" customWidth="1"/>
    <col min="15877" max="15877" width="0.81640625" style="27" customWidth="1"/>
    <col min="15878" max="15878" width="9.1796875" style="27"/>
    <col min="15879" max="15879" width="35.453125" style="27" bestFit="1" customWidth="1"/>
    <col min="15880" max="16127" width="9.1796875" style="27"/>
    <col min="16128" max="16129" width="6.26953125" style="27" customWidth="1"/>
    <col min="16130" max="16130" width="48.453125" style="27" customWidth="1"/>
    <col min="16131" max="16131" width="6.26953125" style="27" customWidth="1"/>
    <col min="16132" max="16132" width="18.26953125" style="27" customWidth="1"/>
    <col min="16133" max="16133" width="0.81640625" style="27" customWidth="1"/>
    <col min="16134" max="16134" width="9.1796875" style="27"/>
    <col min="16135" max="16135" width="35.453125" style="27" bestFit="1" customWidth="1"/>
    <col min="16136" max="16384" width="9.1796875" style="27"/>
  </cols>
  <sheetData>
    <row r="1" spans="1:6" ht="14.15" customHeight="1" x14ac:dyDescent="0.35">
      <c r="A1" s="28" t="s">
        <v>411</v>
      </c>
      <c r="B1" s="28"/>
      <c r="C1" s="29"/>
      <c r="D1" s="29"/>
      <c r="E1" s="29"/>
    </row>
    <row r="2" spans="1:6" ht="14.15" hidden="1" customHeight="1" x14ac:dyDescent="0.35">
      <c r="A2" s="32"/>
      <c r="B2" s="32"/>
      <c r="C2" s="29"/>
      <c r="D2" s="29"/>
      <c r="E2" s="29"/>
    </row>
    <row r="3" spans="1:6" ht="7.5" customHeight="1" x14ac:dyDescent="0.35">
      <c r="C3" s="29"/>
      <c r="D3" s="29"/>
      <c r="E3" s="29"/>
    </row>
    <row r="4" spans="1:6" ht="14.15" customHeight="1" x14ac:dyDescent="0.35">
      <c r="A4" s="34" t="s">
        <v>228</v>
      </c>
      <c r="B4" s="34"/>
      <c r="C4" s="35" t="s">
        <v>229</v>
      </c>
      <c r="D4" s="34"/>
      <c r="E4" s="244"/>
    </row>
    <row r="5" spans="1:6" ht="14.15" customHeight="1" x14ac:dyDescent="0.35">
      <c r="A5" s="36">
        <v>5001</v>
      </c>
      <c r="B5" s="36" t="s">
        <v>262</v>
      </c>
      <c r="C5" s="33" t="s">
        <v>316</v>
      </c>
      <c r="E5" s="31"/>
    </row>
    <row r="6" spans="1:6" ht="14.15" customHeight="1" x14ac:dyDescent="0.35">
      <c r="A6" s="36">
        <v>5002</v>
      </c>
      <c r="B6" s="36" t="s">
        <v>263</v>
      </c>
      <c r="C6" s="30" t="s">
        <v>317</v>
      </c>
      <c r="E6" s="28"/>
    </row>
    <row r="7" spans="1:6" ht="14.15" customHeight="1" x14ac:dyDescent="0.35">
      <c r="A7" s="36">
        <v>5003</v>
      </c>
      <c r="B7" s="36" t="s">
        <v>262</v>
      </c>
      <c r="C7" s="33" t="s">
        <v>318</v>
      </c>
    </row>
    <row r="8" spans="1:6" ht="14.15" customHeight="1" x14ac:dyDescent="0.35">
      <c r="A8" s="36">
        <v>5004</v>
      </c>
      <c r="B8" s="36" t="s">
        <v>264</v>
      </c>
      <c r="C8" s="30" t="s">
        <v>319</v>
      </c>
    </row>
    <row r="9" spans="1:6" ht="14.15" customHeight="1" x14ac:dyDescent="0.35">
      <c r="A9" s="36">
        <v>5006</v>
      </c>
      <c r="B9" s="36" t="s">
        <v>11</v>
      </c>
      <c r="C9" s="33" t="s">
        <v>320</v>
      </c>
      <c r="D9" s="38"/>
      <c r="E9" s="39"/>
    </row>
    <row r="10" spans="1:6" ht="14.15" customHeight="1" x14ac:dyDescent="0.35">
      <c r="A10" s="36">
        <v>5007</v>
      </c>
      <c r="B10" s="36" t="s">
        <v>11</v>
      </c>
      <c r="C10" s="33" t="s">
        <v>321</v>
      </c>
      <c r="D10" s="38"/>
      <c r="E10" s="40"/>
    </row>
    <row r="11" spans="1:6" ht="14.15" customHeight="1" x14ac:dyDescent="0.35">
      <c r="A11" s="36">
        <v>5009</v>
      </c>
      <c r="B11" s="36" t="s">
        <v>11</v>
      </c>
      <c r="C11" s="33" t="s">
        <v>322</v>
      </c>
      <c r="D11" s="38"/>
      <c r="E11" s="40"/>
    </row>
    <row r="12" spans="1:6" ht="14.15" customHeight="1" x14ac:dyDescent="0.35">
      <c r="A12" s="36">
        <v>5010</v>
      </c>
      <c r="B12" s="36" t="s">
        <v>262</v>
      </c>
      <c r="C12" s="33" t="s">
        <v>323</v>
      </c>
      <c r="D12" s="38"/>
      <c r="E12" s="40"/>
      <c r="F12" s="29"/>
    </row>
    <row r="13" spans="1:6" ht="14.15" customHeight="1" x14ac:dyDescent="0.35">
      <c r="A13" s="36">
        <v>5012</v>
      </c>
      <c r="B13" s="36" t="s">
        <v>262</v>
      </c>
      <c r="C13" s="30" t="s">
        <v>324</v>
      </c>
      <c r="D13" s="38"/>
      <c r="E13" s="40"/>
    </row>
    <row r="14" spans="1:6" ht="14.15" customHeight="1" x14ac:dyDescent="0.35">
      <c r="A14" s="36">
        <v>5014</v>
      </c>
      <c r="B14" s="36" t="s">
        <v>262</v>
      </c>
      <c r="C14" s="30" t="s">
        <v>325</v>
      </c>
      <c r="D14" s="38"/>
      <c r="E14" s="40"/>
    </row>
    <row r="15" spans="1:6" ht="14.15" customHeight="1" x14ac:dyDescent="0.35">
      <c r="A15" s="36">
        <v>5015</v>
      </c>
      <c r="B15" s="36" t="s">
        <v>262</v>
      </c>
      <c r="C15" s="33" t="s">
        <v>230</v>
      </c>
      <c r="D15" s="38"/>
      <c r="E15" s="40"/>
    </row>
    <row r="16" spans="1:6" ht="14.15" customHeight="1" x14ac:dyDescent="0.35">
      <c r="A16" s="36">
        <v>5020</v>
      </c>
      <c r="B16" s="36" t="s">
        <v>262</v>
      </c>
      <c r="C16" s="30" t="s">
        <v>326</v>
      </c>
      <c r="D16" s="38"/>
      <c r="E16" s="40"/>
    </row>
    <row r="17" spans="1:5" ht="14.15" customHeight="1" x14ac:dyDescent="0.35">
      <c r="A17" s="36">
        <v>5021</v>
      </c>
      <c r="B17" s="36" t="s">
        <v>264</v>
      </c>
      <c r="C17" s="33" t="s">
        <v>327</v>
      </c>
      <c r="D17" s="38"/>
      <c r="E17" s="40"/>
    </row>
    <row r="18" spans="1:5" ht="14.15" customHeight="1" x14ac:dyDescent="0.35">
      <c r="A18" s="36">
        <v>5022</v>
      </c>
      <c r="B18" s="36" t="s">
        <v>262</v>
      </c>
      <c r="C18" s="33" t="s">
        <v>395</v>
      </c>
      <c r="D18" s="38"/>
      <c r="E18" s="40"/>
    </row>
    <row r="19" spans="1:5" ht="14.15" customHeight="1" x14ac:dyDescent="0.35">
      <c r="A19" s="37">
        <v>5023</v>
      </c>
      <c r="B19" s="36" t="s">
        <v>262</v>
      </c>
      <c r="C19" s="30" t="s">
        <v>328</v>
      </c>
      <c r="D19" s="38"/>
      <c r="E19" s="40"/>
    </row>
    <row r="20" spans="1:5" ht="14.15" customHeight="1" x14ac:dyDescent="0.35">
      <c r="A20" s="36">
        <v>5024</v>
      </c>
      <c r="B20" s="36" t="s">
        <v>262</v>
      </c>
      <c r="C20" s="30" t="s">
        <v>329</v>
      </c>
      <c r="D20" s="38"/>
      <c r="E20" s="40"/>
    </row>
    <row r="21" spans="1:5" ht="14.15" customHeight="1" x14ac:dyDescent="0.35">
      <c r="A21" s="41">
        <v>5028</v>
      </c>
      <c r="B21" s="36" t="s">
        <v>11</v>
      </c>
      <c r="C21" s="42" t="s">
        <v>330</v>
      </c>
    </row>
    <row r="22" spans="1:5" ht="14.15" customHeight="1" x14ac:dyDescent="0.35">
      <c r="A22" s="36">
        <v>5029</v>
      </c>
      <c r="B22" s="36" t="s">
        <v>265</v>
      </c>
      <c r="C22" s="30" t="s">
        <v>331</v>
      </c>
    </row>
    <row r="23" spans="1:5" ht="14.15" customHeight="1" x14ac:dyDescent="0.35">
      <c r="A23" s="36">
        <v>5030</v>
      </c>
      <c r="B23" s="36" t="s">
        <v>262</v>
      </c>
      <c r="C23" s="30" t="s">
        <v>332</v>
      </c>
    </row>
    <row r="24" spans="1:5" ht="14.15" customHeight="1" x14ac:dyDescent="0.35">
      <c r="A24" s="36">
        <v>5031</v>
      </c>
      <c r="B24" s="36" t="s">
        <v>264</v>
      </c>
      <c r="C24" s="30" t="s">
        <v>333</v>
      </c>
    </row>
    <row r="25" spans="1:5" ht="14.15" customHeight="1" x14ac:dyDescent="0.35">
      <c r="A25" s="36">
        <v>5037</v>
      </c>
      <c r="B25" s="36" t="s">
        <v>262</v>
      </c>
      <c r="C25" s="30" t="s">
        <v>334</v>
      </c>
    </row>
    <row r="26" spans="1:5" ht="14.15" customHeight="1" x14ac:dyDescent="0.35">
      <c r="A26" s="36">
        <v>5038</v>
      </c>
      <c r="B26" s="36" t="s">
        <v>266</v>
      </c>
      <c r="C26" s="30" t="s">
        <v>231</v>
      </c>
    </row>
    <row r="27" spans="1:5" ht="14.15" customHeight="1" x14ac:dyDescent="0.35">
      <c r="A27" s="41">
        <v>5041</v>
      </c>
      <c r="B27" s="36" t="s">
        <v>262</v>
      </c>
      <c r="C27" s="42" t="s">
        <v>335</v>
      </c>
    </row>
    <row r="28" spans="1:5" ht="14.15" customHeight="1" x14ac:dyDescent="0.35">
      <c r="A28" s="36">
        <v>5044</v>
      </c>
      <c r="B28" s="36" t="s">
        <v>262</v>
      </c>
      <c r="C28" s="33" t="s">
        <v>336</v>
      </c>
    </row>
    <row r="29" spans="1:5" ht="14.15" customHeight="1" x14ac:dyDescent="0.35">
      <c r="A29" s="41">
        <v>5046</v>
      </c>
      <c r="B29" s="36" t="s">
        <v>262</v>
      </c>
      <c r="C29" s="42" t="s">
        <v>337</v>
      </c>
    </row>
    <row r="30" spans="1:5" ht="14.15" customHeight="1" x14ac:dyDescent="0.35">
      <c r="A30" s="41">
        <v>5048</v>
      </c>
      <c r="B30" s="36" t="s">
        <v>262</v>
      </c>
      <c r="C30" s="42" t="s">
        <v>338</v>
      </c>
    </row>
    <row r="31" spans="1:5" ht="14.15" customHeight="1" x14ac:dyDescent="0.35">
      <c r="A31" s="36">
        <v>5049</v>
      </c>
      <c r="B31" s="36" t="s">
        <v>262</v>
      </c>
      <c r="C31" s="30" t="s">
        <v>339</v>
      </c>
    </row>
    <row r="32" spans="1:5" ht="14.15" customHeight="1" x14ac:dyDescent="0.35">
      <c r="A32" s="41">
        <v>5051</v>
      </c>
      <c r="B32" s="36" t="s">
        <v>264</v>
      </c>
      <c r="C32" s="42" t="s">
        <v>232</v>
      </c>
    </row>
    <row r="33" spans="1:6" ht="14.15" customHeight="1" x14ac:dyDescent="0.35">
      <c r="A33" s="41">
        <v>5052</v>
      </c>
      <c r="B33" s="36" t="s">
        <v>262</v>
      </c>
      <c r="C33" s="42" t="s">
        <v>340</v>
      </c>
    </row>
    <row r="34" spans="1:6" ht="14.15" customHeight="1" x14ac:dyDescent="0.35">
      <c r="A34" s="41">
        <v>5053</v>
      </c>
      <c r="B34" s="36" t="s">
        <v>11</v>
      </c>
      <c r="C34" s="42" t="s">
        <v>341</v>
      </c>
    </row>
    <row r="35" spans="1:6" ht="14.15" customHeight="1" x14ac:dyDescent="0.35">
      <c r="A35" s="41">
        <v>5054</v>
      </c>
      <c r="B35" s="36" t="s">
        <v>264</v>
      </c>
      <c r="C35" s="42" t="s">
        <v>342</v>
      </c>
    </row>
    <row r="36" spans="1:6" ht="14.15" customHeight="1" x14ac:dyDescent="0.35">
      <c r="A36" s="41">
        <v>5056</v>
      </c>
      <c r="B36" s="36" t="s">
        <v>262</v>
      </c>
      <c r="C36" s="42" t="s">
        <v>391</v>
      </c>
    </row>
    <row r="37" spans="1:6" ht="14.15" customHeight="1" x14ac:dyDescent="0.35">
      <c r="A37" s="41">
        <v>5060</v>
      </c>
      <c r="B37" s="36" t="s">
        <v>11</v>
      </c>
      <c r="C37" s="42" t="s">
        <v>343</v>
      </c>
    </row>
    <row r="38" spans="1:6" ht="14.15" customHeight="1" x14ac:dyDescent="0.35">
      <c r="A38" s="36">
        <v>5081</v>
      </c>
      <c r="B38" s="36" t="s">
        <v>263</v>
      </c>
      <c r="C38" s="30" t="s">
        <v>344</v>
      </c>
    </row>
    <row r="39" spans="1:6" ht="14.15" customHeight="1" x14ac:dyDescent="0.35">
      <c r="A39" s="36">
        <v>5091</v>
      </c>
      <c r="B39" s="36" t="s">
        <v>267</v>
      </c>
      <c r="C39" s="30" t="s">
        <v>345</v>
      </c>
    </row>
    <row r="40" spans="1:6" ht="14.15" customHeight="1" x14ac:dyDescent="0.35">
      <c r="A40" s="37">
        <v>5111</v>
      </c>
      <c r="B40" s="36" t="s">
        <v>262</v>
      </c>
      <c r="C40" s="30" t="s">
        <v>346</v>
      </c>
      <c r="F40" s="43"/>
    </row>
    <row r="41" spans="1:6" ht="14.15" customHeight="1" x14ac:dyDescent="0.35">
      <c r="A41" s="37">
        <v>5116</v>
      </c>
      <c r="B41" s="36" t="s">
        <v>264</v>
      </c>
      <c r="C41" s="30" t="s">
        <v>233</v>
      </c>
    </row>
    <row r="42" spans="1:6" ht="14.15" customHeight="1" x14ac:dyDescent="0.35">
      <c r="A42" s="36">
        <v>5121</v>
      </c>
      <c r="B42" s="36" t="s">
        <v>267</v>
      </c>
      <c r="C42" s="30" t="s">
        <v>234</v>
      </c>
    </row>
    <row r="43" spans="1:6" ht="14.15" customHeight="1" x14ac:dyDescent="0.35">
      <c r="A43" s="37">
        <v>5130</v>
      </c>
      <c r="B43" s="36" t="s">
        <v>262</v>
      </c>
      <c r="C43" s="30" t="s">
        <v>235</v>
      </c>
    </row>
    <row r="44" spans="1:6" ht="14.15" customHeight="1" x14ac:dyDescent="0.35">
      <c r="A44" s="36">
        <v>5141</v>
      </c>
      <c r="B44" s="36" t="s">
        <v>264</v>
      </c>
      <c r="C44" s="30" t="s">
        <v>347</v>
      </c>
    </row>
    <row r="45" spans="1:6" ht="14.15" customHeight="1" x14ac:dyDescent="0.35">
      <c r="A45" s="36">
        <v>5142</v>
      </c>
      <c r="B45" s="36" t="s">
        <v>11</v>
      </c>
      <c r="C45" s="30" t="s">
        <v>348</v>
      </c>
    </row>
    <row r="46" spans="1:6" ht="14.15" customHeight="1" x14ac:dyDescent="0.35">
      <c r="A46" s="36">
        <v>5151</v>
      </c>
      <c r="B46" s="36" t="s">
        <v>263</v>
      </c>
      <c r="C46" s="30" t="s">
        <v>349</v>
      </c>
    </row>
    <row r="47" spans="1:6" ht="14.15" customHeight="1" x14ac:dyDescent="0.35">
      <c r="A47" s="36">
        <v>5161</v>
      </c>
      <c r="B47" s="36" t="s">
        <v>264</v>
      </c>
      <c r="C47" s="30" t="s">
        <v>350</v>
      </c>
    </row>
    <row r="48" spans="1:6" ht="14.15" customHeight="1" x14ac:dyDescent="0.35">
      <c r="A48" s="37">
        <v>5164</v>
      </c>
      <c r="B48" s="36" t="s">
        <v>264</v>
      </c>
      <c r="C48" s="30" t="s">
        <v>351</v>
      </c>
    </row>
    <row r="49" spans="1:5" ht="14.15" customHeight="1" x14ac:dyDescent="0.35">
      <c r="A49" s="37">
        <v>5171</v>
      </c>
      <c r="B49" s="36" t="s">
        <v>264</v>
      </c>
      <c r="C49" s="30" t="s">
        <v>352</v>
      </c>
    </row>
    <row r="50" spans="1:5" ht="14.15" customHeight="1" x14ac:dyDescent="0.35">
      <c r="A50" s="37">
        <v>5177</v>
      </c>
      <c r="B50" s="36" t="s">
        <v>264</v>
      </c>
      <c r="C50" s="30" t="s">
        <v>236</v>
      </c>
    </row>
    <row r="51" spans="1:5" ht="14.15" customHeight="1" x14ac:dyDescent="0.35">
      <c r="A51" s="36">
        <v>5182</v>
      </c>
      <c r="B51" s="36" t="s">
        <v>267</v>
      </c>
      <c r="C51" s="30" t="s">
        <v>353</v>
      </c>
    </row>
    <row r="52" spans="1:5" ht="14.15" customHeight="1" x14ac:dyDescent="0.35">
      <c r="A52" s="36">
        <v>5209</v>
      </c>
      <c r="B52" s="36" t="s">
        <v>11</v>
      </c>
      <c r="C52" s="30" t="s">
        <v>227</v>
      </c>
    </row>
    <row r="53" spans="1:5" ht="14.15" customHeight="1" x14ac:dyDescent="0.35">
      <c r="A53" s="36">
        <v>5211</v>
      </c>
      <c r="B53" s="36" t="s">
        <v>264</v>
      </c>
      <c r="C53" s="30" t="s">
        <v>354</v>
      </c>
    </row>
    <row r="54" spans="1:5" ht="14.15" customHeight="1" x14ac:dyDescent="0.35">
      <c r="A54" s="36">
        <v>5215</v>
      </c>
      <c r="B54" s="36" t="s">
        <v>263</v>
      </c>
      <c r="C54" s="30" t="s">
        <v>355</v>
      </c>
    </row>
    <row r="55" spans="1:5" ht="14.15" customHeight="1" x14ac:dyDescent="0.35">
      <c r="A55" s="314">
        <v>5219</v>
      </c>
      <c r="B55" s="314" t="s">
        <v>11</v>
      </c>
      <c r="C55" s="315" t="s">
        <v>356</v>
      </c>
    </row>
    <row r="56" spans="1:5" ht="14.15" customHeight="1" x14ac:dyDescent="0.35">
      <c r="A56" s="36">
        <v>5221</v>
      </c>
      <c r="B56" s="36" t="s">
        <v>11</v>
      </c>
      <c r="C56" s="30" t="s">
        <v>357</v>
      </c>
      <c r="D56" s="30"/>
    </row>
    <row r="57" spans="1:5" ht="14.15" customHeight="1" x14ac:dyDescent="0.35">
      <c r="A57" s="36">
        <v>5224</v>
      </c>
      <c r="B57" s="36" t="s">
        <v>11</v>
      </c>
      <c r="C57" s="30" t="s">
        <v>358</v>
      </c>
    </row>
    <row r="58" spans="1:5" ht="14.15" customHeight="1" x14ac:dyDescent="0.35">
      <c r="A58" s="36">
        <v>5233</v>
      </c>
      <c r="B58" s="36" t="s">
        <v>11</v>
      </c>
      <c r="C58" s="30" t="s">
        <v>237</v>
      </c>
      <c r="D58" s="29"/>
      <c r="E58" s="29"/>
    </row>
    <row r="59" spans="1:5" ht="14.15" customHeight="1" x14ac:dyDescent="0.35">
      <c r="A59" s="314">
        <v>5234</v>
      </c>
      <c r="B59" s="314" t="s">
        <v>262</v>
      </c>
      <c r="C59" s="316" t="s">
        <v>359</v>
      </c>
      <c r="D59" s="29"/>
      <c r="E59" s="29"/>
    </row>
    <row r="60" spans="1:5" ht="14.15" customHeight="1" x14ac:dyDescent="0.35">
      <c r="A60" s="36">
        <v>5263</v>
      </c>
      <c r="B60" s="36" t="s">
        <v>264</v>
      </c>
      <c r="C60" s="44" t="s">
        <v>360</v>
      </c>
    </row>
    <row r="61" spans="1:5" ht="14.15" customHeight="1" x14ac:dyDescent="0.35">
      <c r="A61" s="36">
        <v>5271</v>
      </c>
      <c r="B61" s="36" t="s">
        <v>264</v>
      </c>
      <c r="C61" s="30" t="s">
        <v>361</v>
      </c>
    </row>
    <row r="62" spans="1:5" ht="14.15" customHeight="1" x14ac:dyDescent="0.35">
      <c r="A62" s="36">
        <v>5320</v>
      </c>
      <c r="B62" s="36" t="s">
        <v>262</v>
      </c>
      <c r="C62" s="30" t="s">
        <v>362</v>
      </c>
    </row>
    <row r="63" spans="1:5" ht="14.15" customHeight="1" x14ac:dyDescent="0.35">
      <c r="A63" s="37">
        <v>5325</v>
      </c>
      <c r="B63" s="36" t="s">
        <v>264</v>
      </c>
      <c r="C63" s="30" t="s">
        <v>363</v>
      </c>
    </row>
    <row r="64" spans="1:5" ht="14.15" customHeight="1" x14ac:dyDescent="0.35">
      <c r="A64" s="36">
        <v>5355</v>
      </c>
      <c r="B64" s="36" t="s">
        <v>266</v>
      </c>
      <c r="C64" s="44" t="s">
        <v>364</v>
      </c>
    </row>
    <row r="65" spans="1:3" ht="14.15" customHeight="1" x14ac:dyDescent="0.35">
      <c r="A65" s="36">
        <v>5356</v>
      </c>
      <c r="B65" s="36" t="s">
        <v>263</v>
      </c>
      <c r="C65" s="30" t="s">
        <v>238</v>
      </c>
    </row>
    <row r="66" spans="1:3" ht="14.15" customHeight="1" x14ac:dyDescent="0.35">
      <c r="A66" s="36">
        <v>5361</v>
      </c>
      <c r="B66" s="36" t="s">
        <v>264</v>
      </c>
      <c r="C66" s="30" t="s">
        <v>365</v>
      </c>
    </row>
    <row r="67" spans="1:3" ht="14.15" customHeight="1" x14ac:dyDescent="0.35">
      <c r="A67" s="36">
        <v>5362</v>
      </c>
      <c r="B67" s="36" t="s">
        <v>263</v>
      </c>
      <c r="C67" s="30" t="s">
        <v>366</v>
      </c>
    </row>
    <row r="68" spans="1:3" ht="14.15" customHeight="1" x14ac:dyDescent="0.35">
      <c r="A68" s="36">
        <v>5371</v>
      </c>
      <c r="B68" s="36" t="s">
        <v>263</v>
      </c>
      <c r="C68" s="30" t="s">
        <v>367</v>
      </c>
    </row>
    <row r="69" spans="1:3" ht="14.15" customHeight="1" x14ac:dyDescent="0.35">
      <c r="A69" s="36">
        <v>5381</v>
      </c>
      <c r="B69" s="36" t="s">
        <v>267</v>
      </c>
      <c r="C69" s="30" t="s">
        <v>239</v>
      </c>
    </row>
    <row r="70" spans="1:3" ht="14.15" customHeight="1" x14ac:dyDescent="0.35">
      <c r="A70" s="36">
        <v>5387</v>
      </c>
      <c r="B70" s="36" t="s">
        <v>264</v>
      </c>
      <c r="C70" s="30" t="s">
        <v>368</v>
      </c>
    </row>
    <row r="71" spans="1:3" ht="14.15" customHeight="1" x14ac:dyDescent="0.35">
      <c r="A71" s="41">
        <v>5388</v>
      </c>
      <c r="B71" s="36" t="s">
        <v>264</v>
      </c>
      <c r="C71" s="42" t="s">
        <v>369</v>
      </c>
    </row>
    <row r="72" spans="1:3" ht="14.15" customHeight="1" x14ac:dyDescent="0.35">
      <c r="A72" s="37">
        <v>5391</v>
      </c>
      <c r="B72" s="36" t="s">
        <v>268</v>
      </c>
      <c r="C72" s="30" t="s">
        <v>370</v>
      </c>
    </row>
    <row r="73" spans="1:3" ht="14.15" customHeight="1" x14ac:dyDescent="0.35">
      <c r="A73" s="37">
        <v>5392</v>
      </c>
      <c r="B73" s="36" t="s">
        <v>262</v>
      </c>
      <c r="C73" s="30" t="s">
        <v>371</v>
      </c>
    </row>
    <row r="74" spans="1:3" ht="14.15" customHeight="1" x14ac:dyDescent="0.35">
      <c r="A74" s="37">
        <v>5396</v>
      </c>
      <c r="B74" s="36" t="s">
        <v>11</v>
      </c>
      <c r="C74" s="30" t="s">
        <v>372</v>
      </c>
    </row>
    <row r="75" spans="1:3" ht="14.15" customHeight="1" x14ac:dyDescent="0.35">
      <c r="A75" s="37">
        <v>5400</v>
      </c>
      <c r="B75" s="36" t="s">
        <v>264</v>
      </c>
      <c r="C75" s="30" t="s">
        <v>313</v>
      </c>
    </row>
    <row r="76" spans="1:3" ht="14.15" customHeight="1" x14ac:dyDescent="0.35">
      <c r="A76" s="37">
        <v>5405</v>
      </c>
      <c r="B76" s="36" t="s">
        <v>264</v>
      </c>
      <c r="C76" s="30" t="s">
        <v>373</v>
      </c>
    </row>
    <row r="77" spans="1:3" ht="14.15" customHeight="1" x14ac:dyDescent="0.35">
      <c r="A77" s="37">
        <v>5406</v>
      </c>
      <c r="B77" s="36" t="s">
        <v>263</v>
      </c>
      <c r="C77" s="30" t="s">
        <v>374</v>
      </c>
    </row>
    <row r="78" spans="1:3" ht="14.15" customHeight="1" x14ac:dyDescent="0.35">
      <c r="A78" s="41">
        <v>5407</v>
      </c>
      <c r="B78" s="36" t="s">
        <v>262</v>
      </c>
      <c r="C78" s="42" t="s">
        <v>375</v>
      </c>
    </row>
    <row r="79" spans="1:3" ht="14.15" customHeight="1" x14ac:dyDescent="0.35">
      <c r="A79" s="37">
        <v>5410</v>
      </c>
      <c r="B79" s="36" t="s">
        <v>262</v>
      </c>
      <c r="C79" s="33" t="s">
        <v>376</v>
      </c>
    </row>
    <row r="80" spans="1:3" ht="14.15" customHeight="1" x14ac:dyDescent="0.35">
      <c r="A80" s="36">
        <v>5413</v>
      </c>
      <c r="B80" s="36" t="s">
        <v>263</v>
      </c>
      <c r="C80" s="30" t="s">
        <v>377</v>
      </c>
    </row>
    <row r="81" spans="1:5" ht="14.15" customHeight="1" x14ac:dyDescent="0.35">
      <c r="A81" s="37">
        <v>5416</v>
      </c>
      <c r="B81" s="36" t="s">
        <v>267</v>
      </c>
      <c r="C81" s="30" t="s">
        <v>378</v>
      </c>
    </row>
    <row r="82" spans="1:5" ht="14.15" customHeight="1" x14ac:dyDescent="0.35">
      <c r="A82" s="36">
        <v>5419</v>
      </c>
      <c r="B82" s="36" t="s">
        <v>263</v>
      </c>
      <c r="C82" s="30" t="s">
        <v>379</v>
      </c>
    </row>
    <row r="83" spans="1:5" ht="14.15" customHeight="1" x14ac:dyDescent="0.35">
      <c r="A83" s="37">
        <v>5420</v>
      </c>
      <c r="B83" s="36" t="s">
        <v>262</v>
      </c>
      <c r="C83" s="30" t="s">
        <v>380</v>
      </c>
    </row>
    <row r="84" spans="1:5" ht="14.15" customHeight="1" x14ac:dyDescent="0.35">
      <c r="A84" s="36">
        <v>5422</v>
      </c>
      <c r="B84" s="36" t="s">
        <v>262</v>
      </c>
      <c r="C84" s="33" t="s">
        <v>381</v>
      </c>
    </row>
    <row r="85" spans="1:5" ht="14.15" customHeight="1" x14ac:dyDescent="0.35">
      <c r="A85" s="37">
        <v>5441</v>
      </c>
      <c r="B85" s="36" t="s">
        <v>263</v>
      </c>
      <c r="C85" s="30" t="s">
        <v>382</v>
      </c>
    </row>
    <row r="86" spans="1:5" ht="14.15" customHeight="1" x14ac:dyDescent="0.35">
      <c r="A86" s="37">
        <v>5481</v>
      </c>
      <c r="B86" s="36" t="s">
        <v>11</v>
      </c>
      <c r="C86" s="30" t="s">
        <v>383</v>
      </c>
    </row>
    <row r="87" spans="1:5" ht="14.15" customHeight="1" x14ac:dyDescent="0.35">
      <c r="A87" s="37">
        <v>5555</v>
      </c>
      <c r="B87" s="310" t="s">
        <v>11</v>
      </c>
      <c r="C87" s="30" t="s">
        <v>397</v>
      </c>
    </row>
    <row r="88" spans="1:5" ht="14.15" customHeight="1" x14ac:dyDescent="0.35">
      <c r="A88" s="37">
        <v>5556</v>
      </c>
      <c r="B88" s="309" t="s">
        <v>263</v>
      </c>
      <c r="C88" s="30" t="s">
        <v>396</v>
      </c>
      <c r="D88" s="308"/>
      <c r="E88" s="244"/>
    </row>
    <row r="89" spans="1:5" ht="14.15" customHeight="1" x14ac:dyDescent="0.35">
      <c r="A89" s="37">
        <v>5710</v>
      </c>
      <c r="B89" s="36" t="s">
        <v>262</v>
      </c>
      <c r="C89" s="30" t="s">
        <v>384</v>
      </c>
    </row>
    <row r="90" spans="1:5" ht="14.15" customHeight="1" x14ac:dyDescent="0.35">
      <c r="A90" s="37">
        <v>5717</v>
      </c>
      <c r="B90" s="36" t="s">
        <v>264</v>
      </c>
      <c r="C90" s="30" t="s">
        <v>385</v>
      </c>
    </row>
    <row r="91" spans="1:5" ht="14.15" customHeight="1" x14ac:dyDescent="0.35">
      <c r="A91" s="37">
        <v>5791</v>
      </c>
      <c r="B91" s="36" t="s">
        <v>267</v>
      </c>
      <c r="C91" s="30" t="s">
        <v>240</v>
      </c>
    </row>
    <row r="92" spans="1:5" ht="14.15" customHeight="1" x14ac:dyDescent="0.35">
      <c r="A92" s="37">
        <v>5801</v>
      </c>
      <c r="B92" s="36" t="s">
        <v>264</v>
      </c>
      <c r="C92" s="30" t="s">
        <v>241</v>
      </c>
    </row>
    <row r="93" spans="1:5" ht="14.15" customHeight="1" x14ac:dyDescent="0.35">
      <c r="A93" s="37">
        <v>5852</v>
      </c>
      <c r="B93" s="36" t="s">
        <v>264</v>
      </c>
      <c r="C93" s="30" t="s">
        <v>242</v>
      </c>
    </row>
    <row r="94" spans="1:5" ht="14.15" customHeight="1" x14ac:dyDescent="0.35">
      <c r="A94" s="37">
        <v>5861</v>
      </c>
      <c r="B94" s="36" t="s">
        <v>11</v>
      </c>
      <c r="C94" s="30" t="s">
        <v>386</v>
      </c>
    </row>
    <row r="95" spans="1:5" ht="15.65" customHeight="1" x14ac:dyDescent="0.35">
      <c r="A95" s="37">
        <v>0</v>
      </c>
      <c r="B95" s="37"/>
      <c r="C95" s="30" t="s">
        <v>243</v>
      </c>
    </row>
    <row r="96" spans="1:5" ht="15.65" customHeight="1" x14ac:dyDescent="0.35">
      <c r="A96" s="37">
        <v>1</v>
      </c>
      <c r="C96" s="30" t="s">
        <v>295</v>
      </c>
    </row>
  </sheetData>
  <sheetProtection algorithmName="SHA-512" hashValue="fggTuXZHe1gO5Z/5zmIvvquGhaQ5ouIZBdXhVDf4Q5yDhPn1IaQdz2rCsnrPrv8k3VnvWApDPRqkeIzihIGedQ==" saltValue="B278L3/+T+GjT36lRn6BOg==" spinCount="100000" sheet="1" selectLockedCells="1" selectUnlockedCells="1"/>
  <printOptions horizontalCentered="1" gridLinesSet="0"/>
  <pageMargins left="0" right="0" top="0.25" bottom="0.25" header="0.55000000000000004" footer="0.1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50</vt:i4>
      </vt:variant>
    </vt:vector>
  </HeadingPairs>
  <TitlesOfParts>
    <vt:vector size="56" baseType="lpstr">
      <vt:lpstr>1-Revenue Estimate</vt:lpstr>
      <vt:lpstr>2-Complete Budget</vt:lpstr>
      <vt:lpstr>Summary</vt:lpstr>
      <vt:lpstr>Summary by Function </vt:lpstr>
      <vt:lpstr>FY23 POFR FTE</vt:lpstr>
      <vt:lpstr>Charter Schools</vt:lpstr>
      <vt:lpstr>'1-Revenue Estimate'!_1.__2009_10_FEFP_State_and_Local_Funding</vt:lpstr>
      <vt:lpstr>'1-Revenue Estimate'!_1.__2010_11_FEFP_State_and_Local_Funding</vt:lpstr>
      <vt:lpstr>'1-Revenue Estimate'!_101_Basic_K_3</vt:lpstr>
      <vt:lpstr>'1-Revenue Estimate'!_102_Basic_4_8</vt:lpstr>
      <vt:lpstr>'1-Revenue Estimate'!_103_Basic_9_12</vt:lpstr>
      <vt:lpstr>'1-Revenue Estimate'!_111_Basic_K_3_with_ESE_Services</vt:lpstr>
      <vt:lpstr>'1-Revenue Estimate'!_112_Basic_4_8_with_ESE_Services</vt:lpstr>
      <vt:lpstr>'1-Revenue Estimate'!_113_Basic_9_12_with_ESE_Services</vt:lpstr>
      <vt:lpstr>'1-Revenue Estimate'!_130_ESOL__Grade_Level_4_8</vt:lpstr>
      <vt:lpstr>'1-Revenue Estimate'!_130_ESOL__Grade_Level_9_12</vt:lpstr>
      <vt:lpstr>'1-Revenue Estimate'!_130_ESOL__Grade_Level_PK_3</vt:lpstr>
      <vt:lpstr>'1-Revenue Estimate'!_2.__ESE_Guaranteed_Allocation</vt:lpstr>
      <vt:lpstr>'1-Revenue Estimate'!_2010_11_Base_Funding_WFTE_x_BSA_x_DCD</vt:lpstr>
      <vt:lpstr>'1-Revenue Estimate'!_254_ESE_Level_4__Grade_Level_4_8</vt:lpstr>
      <vt:lpstr>'1-Revenue Estimate'!_254_ESE_Level_4__Grade_Level_9_12</vt:lpstr>
      <vt:lpstr>'1-Revenue Estimate'!_254_ESE_Level_4__Grade_Level_PK_3</vt:lpstr>
      <vt:lpstr>'1-Revenue Estimate'!_255_ESE_Level_5__Grade_Level_4_8</vt:lpstr>
      <vt:lpstr>'1-Revenue Estimate'!_255_ESE_Level_5__Grade_Level_9_12</vt:lpstr>
      <vt:lpstr>'1-Revenue Estimate'!_255_ESE_Level_5__Grade_Level_PK_3</vt:lpstr>
      <vt:lpstr>'1-Revenue Estimate'!_300_Career_Education__Grades_9_12</vt:lpstr>
      <vt:lpstr>'1-Revenue Estimate'!_4_8</vt:lpstr>
      <vt:lpstr>'1-Revenue Estimate'!_9_12</vt:lpstr>
      <vt:lpstr>'1-Revenue Estimate'!Allocation_factors</vt:lpstr>
      <vt:lpstr>'1-Revenue Estimate'!Base_Student_Allocation</vt:lpstr>
      <vt:lpstr>'1-Revenue Estimate'!Based_on_the_Second_Calculation_of_the_FEFP_2010_11</vt:lpstr>
      <vt:lpstr>'1-Revenue Estimate'!DCD</vt:lpstr>
      <vt:lpstr>'1-Revenue Estimate'!District_Cost_Differential</vt:lpstr>
      <vt:lpstr>'1-Revenue Estimate'!FTE</vt:lpstr>
      <vt:lpstr>'1-Revenue Estimate'!Grade_Level</vt:lpstr>
      <vt:lpstr>'1-Revenue Estimate'!Guarantee_Per_Student</vt:lpstr>
      <vt:lpstr>'1-Revenue Estimate'!Matrix_Level</vt:lpstr>
      <vt:lpstr>'1-Revenue Estimate'!Number_of_FTE</vt:lpstr>
      <vt:lpstr>'1-Revenue Estimate'!PK___3</vt:lpstr>
      <vt:lpstr>'1-Revenue Estimate'!Print_Area</vt:lpstr>
      <vt:lpstr>'2-Complete Budget'!Print_Area</vt:lpstr>
      <vt:lpstr>'Charter Schools'!Print_Area</vt:lpstr>
      <vt:lpstr>Summary!Print_Area</vt:lpstr>
      <vt:lpstr>'Summary by Function '!Print_Area</vt:lpstr>
      <vt:lpstr>'2-Complete Budget'!Print_Titles</vt:lpstr>
      <vt:lpstr>Summary!Print_Titles</vt:lpstr>
      <vt:lpstr>'Summary by Function '!Print_Titles</vt:lpstr>
      <vt:lpstr>'1-Revenue Estimate'!Program</vt:lpstr>
      <vt:lpstr>'1-Revenue Estimate'!Program______________________________Cost_Factor</vt:lpstr>
      <vt:lpstr>'1-Revenue Estimate'!Revenue_Estimate_Worksheet_for___________Charter_School</vt:lpstr>
      <vt:lpstr>'1-Revenue Estimate'!School_District</vt:lpstr>
      <vt:lpstr>'1-Revenue Estimate'!Total</vt:lpstr>
      <vt:lpstr>'1-Revenue Estimate'!Total_Class_Size_Reduction_Funds</vt:lpstr>
      <vt:lpstr>'1-Revenue Estimate'!Totals</vt:lpstr>
      <vt:lpstr>'1-Revenue Estimate'!Weighted_FTE____________b__x__c</vt:lpstr>
      <vt:lpstr>'1-Revenue Estimate'!Weighted_FTE__From_Section_1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LeeDavis</dc:creator>
  <cp:lastModifiedBy>CS-5060 SunFire High School</cp:lastModifiedBy>
  <cp:lastPrinted>2020-05-18T19:03:48Z</cp:lastPrinted>
  <dcterms:created xsi:type="dcterms:W3CDTF">1998-02-12T20:21:54Z</dcterms:created>
  <dcterms:modified xsi:type="dcterms:W3CDTF">2023-10-19T03:57:33Z</dcterms:modified>
</cp:coreProperties>
</file>